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ACA85620-372D-4781-92BB-CA5142017F8F}" xr6:coauthVersionLast="47" xr6:coauthVersionMax="47" xr10:uidLastSave="{00000000-0000-0000-0000-000000000000}"/>
  <workbookProtection workbookAlgorithmName="SHA-512" workbookHashValue="Z83cEb79iI8LGgJmeCiBlJJUiVQaq4ohJI5SvQsc3ISkgIUo9QSQKux9DYO4qmyI3G/FpwNAwTZpuKerb4BfYQ==" workbookSaltValue="mYLZ41qyg73qO64U0zclcg==" workbookSpinCount="100000" lockStructure="1"/>
  <bookViews>
    <workbookView xWindow="-120" yWindow="-120" windowWidth="29040" windowHeight="15840" xr2:uid="{5F939F0E-B7C8-4EE0-A5CF-22394BFDF32C}"/>
  </bookViews>
  <sheets>
    <sheet name="ZU 2024 po 1.ZR a RORM 1-73" sheetId="1" r:id="rId1"/>
  </sheets>
  <definedNames>
    <definedName name="__DdeLink__9289_5144441" localSheetId="0">'ZU 2024 po 1.ZR a RORM 1-73'!#REF!</definedName>
    <definedName name="_xlnm.Print_Titles" localSheetId="0">'ZU 2024 po 1.ZR a RORM 1-73'!$1:$2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7" i="1" l="1"/>
  <c r="G177" i="1"/>
  <c r="G42" i="1"/>
  <c r="G260" i="1"/>
  <c r="G258" i="1" s="1"/>
  <c r="G303" i="1"/>
  <c r="G301" i="1" s="1"/>
  <c r="G286" i="1"/>
  <c r="G278" i="1"/>
  <c r="G276" i="1" s="1"/>
  <c r="G272" i="1"/>
  <c r="G269" i="1"/>
  <c r="G254" i="1"/>
  <c r="G251" i="1" s="1"/>
  <c r="G249" i="1"/>
  <c r="G247" i="1" s="1"/>
  <c r="G157" i="1"/>
  <c r="G155" i="1" s="1"/>
  <c r="G67" i="1"/>
  <c r="H116" i="1"/>
  <c r="G116" i="1"/>
  <c r="G59" i="1"/>
  <c r="G58" i="1"/>
  <c r="G47" i="1"/>
  <c r="G40" i="1"/>
  <c r="H40" i="1" s="1"/>
  <c r="C24" i="1"/>
  <c r="G26" i="1"/>
  <c r="G36" i="1"/>
  <c r="H36" i="1" s="1"/>
  <c r="G8" i="1"/>
  <c r="G6" i="1"/>
  <c r="G213" i="1"/>
  <c r="H213" i="1"/>
  <c r="G221" i="1"/>
  <c r="G212" i="1"/>
  <c r="H212" i="1" s="1"/>
  <c r="G154" i="1"/>
  <c r="G117" i="1"/>
  <c r="H117" i="1" s="1"/>
  <c r="G39" i="1"/>
  <c r="H39" i="1" s="1"/>
  <c r="G38" i="1"/>
  <c r="H38" i="1" s="1"/>
  <c r="G194" i="1"/>
  <c r="H194" i="1" s="1"/>
  <c r="G188" i="1"/>
  <c r="H188" i="1" s="1"/>
  <c r="G190" i="1"/>
  <c r="H190" i="1" s="1"/>
  <c r="G192" i="1"/>
  <c r="H192" i="1" s="1"/>
  <c r="G185" i="1"/>
  <c r="H185" i="1" s="1"/>
  <c r="G338" i="1"/>
  <c r="G336" i="1" s="1"/>
  <c r="G319" i="1"/>
  <c r="G274" i="1"/>
  <c r="G224" i="1"/>
  <c r="G222" i="1" s="1"/>
  <c r="G171" i="1"/>
  <c r="G29" i="1"/>
  <c r="H29" i="1" s="1"/>
  <c r="G32" i="1"/>
  <c r="H32" i="1" s="1"/>
  <c r="G321" i="1"/>
  <c r="G211" i="1"/>
  <c r="G113" i="1"/>
  <c r="H113" i="1" s="1"/>
  <c r="G33" i="1"/>
  <c r="H33" i="1" s="1"/>
  <c r="G31" i="1"/>
  <c r="H31" i="1" s="1"/>
  <c r="G68" i="1"/>
  <c r="H68" i="1" s="1"/>
  <c r="G45" i="1"/>
  <c r="G34" i="1"/>
  <c r="G20" i="1"/>
  <c r="G7" i="1"/>
  <c r="G5" i="1"/>
  <c r="C20" i="1"/>
  <c r="G354" i="1"/>
  <c r="G339" i="1"/>
  <c r="G333" i="1"/>
  <c r="G324" i="1"/>
  <c r="G313" i="1"/>
  <c r="G305" i="1"/>
  <c r="G284" i="1"/>
  <c r="G280" i="1"/>
  <c r="G261" i="1"/>
  <c r="G243" i="1"/>
  <c r="G225" i="1"/>
  <c r="G60" i="1"/>
  <c r="G48" i="1"/>
  <c r="H259" i="1"/>
  <c r="G169" i="1" l="1"/>
  <c r="G266" i="1"/>
  <c r="G24" i="1"/>
  <c r="G43" i="1"/>
  <c r="H26" i="1"/>
  <c r="G317" i="1"/>
  <c r="G178" i="1"/>
  <c r="H211" i="1"/>
  <c r="G65" i="1"/>
  <c r="H34" i="1"/>
  <c r="G56" i="1"/>
  <c r="G9" i="1"/>
  <c r="G21" i="1" s="1"/>
  <c r="D319" i="1"/>
  <c r="D307" i="1"/>
  <c r="D278" i="1"/>
  <c r="D270" i="1"/>
  <c r="D245" i="1"/>
  <c r="D224" i="1"/>
  <c r="D195" i="1"/>
  <c r="F195" i="1" s="1"/>
  <c r="H195" i="1" s="1"/>
  <c r="D221" i="1"/>
  <c r="D157" i="1"/>
  <c r="D154" i="1"/>
  <c r="D110" i="1"/>
  <c r="D109" i="1"/>
  <c r="D94" i="1"/>
  <c r="F94" i="1" s="1"/>
  <c r="H94" i="1" s="1"/>
  <c r="D93" i="1"/>
  <c r="F93" i="1" s="1"/>
  <c r="H93" i="1" s="1"/>
  <c r="D82" i="1"/>
  <c r="F82" i="1" s="1"/>
  <c r="H82" i="1" s="1"/>
  <c r="D81" i="1"/>
  <c r="F81" i="1" s="1"/>
  <c r="H81" i="1" s="1"/>
  <c r="D75" i="1"/>
  <c r="F75" i="1" s="1"/>
  <c r="H75" i="1" s="1"/>
  <c r="D74" i="1"/>
  <c r="F74" i="1" s="1"/>
  <c r="H74" i="1" s="1"/>
  <c r="D90" i="1"/>
  <c r="F90" i="1" s="1"/>
  <c r="H90" i="1" s="1"/>
  <c r="D89" i="1"/>
  <c r="F89" i="1" s="1"/>
  <c r="H89" i="1" s="1"/>
  <c r="D78" i="1"/>
  <c r="F78" i="1" s="1"/>
  <c r="H78" i="1" s="1"/>
  <c r="D77" i="1"/>
  <c r="F77" i="1" s="1"/>
  <c r="H77" i="1" s="1"/>
  <c r="D85" i="1"/>
  <c r="F85" i="1" s="1"/>
  <c r="H85" i="1" s="1"/>
  <c r="D84" i="1"/>
  <c r="F84" i="1" s="1"/>
  <c r="H84" i="1" s="1"/>
  <c r="D58" i="1"/>
  <c r="D59" i="1"/>
  <c r="D35" i="1"/>
  <c r="F35" i="1" s="1"/>
  <c r="H35" i="1" s="1"/>
  <c r="E24" i="1"/>
  <c r="D27" i="1"/>
  <c r="D28" i="1"/>
  <c r="F28" i="1" s="1"/>
  <c r="H28" i="1" s="1"/>
  <c r="F5" i="1"/>
  <c r="G343" i="1" l="1"/>
  <c r="G255" i="1"/>
  <c r="H5" i="1"/>
  <c r="F27" i="1"/>
  <c r="F18" i="1"/>
  <c r="H18" i="1" s="1"/>
  <c r="D42" i="1"/>
  <c r="F42" i="1" s="1"/>
  <c r="H42" i="1" s="1"/>
  <c r="D8" i="1"/>
  <c r="F8" i="1" s="1"/>
  <c r="H8" i="1" s="1"/>
  <c r="D6" i="1"/>
  <c r="F6" i="1" s="1"/>
  <c r="H6" i="1" s="1"/>
  <c r="F322" i="1"/>
  <c r="H322" i="1" s="1"/>
  <c r="F287" i="1"/>
  <c r="H287" i="1" s="1"/>
  <c r="F288" i="1"/>
  <c r="H288" i="1" s="1"/>
  <c r="F289" i="1"/>
  <c r="H289" i="1" s="1"/>
  <c r="F290" i="1"/>
  <c r="H290" i="1" s="1"/>
  <c r="F291" i="1"/>
  <c r="H291" i="1" s="1"/>
  <c r="F292" i="1"/>
  <c r="H292" i="1" s="1"/>
  <c r="F293" i="1"/>
  <c r="H293" i="1" s="1"/>
  <c r="F294" i="1"/>
  <c r="H294" i="1" s="1"/>
  <c r="F295" i="1"/>
  <c r="H295" i="1" s="1"/>
  <c r="F296" i="1"/>
  <c r="H296" i="1" s="1"/>
  <c r="F297" i="1"/>
  <c r="H297" i="1" s="1"/>
  <c r="F298" i="1"/>
  <c r="H298" i="1" s="1"/>
  <c r="F299" i="1"/>
  <c r="H299" i="1" s="1"/>
  <c r="F160" i="1"/>
  <c r="H160" i="1" s="1"/>
  <c r="F161" i="1"/>
  <c r="H161" i="1" s="1"/>
  <c r="F119" i="1"/>
  <c r="H119" i="1" s="1"/>
  <c r="F97" i="1"/>
  <c r="H97" i="1" s="1"/>
  <c r="F95" i="1"/>
  <c r="H95" i="1" s="1"/>
  <c r="E60" i="1"/>
  <c r="E56" i="1"/>
  <c r="E48" i="1"/>
  <c r="E43" i="1"/>
  <c r="F41" i="1"/>
  <c r="H41" i="1" s="1"/>
  <c r="E359" i="1"/>
  <c r="E354" i="1"/>
  <c r="E339" i="1"/>
  <c r="E336" i="1"/>
  <c r="E333" i="1"/>
  <c r="E324" i="1"/>
  <c r="E317" i="1"/>
  <c r="E313" i="1"/>
  <c r="E305" i="1"/>
  <c r="E301" i="1"/>
  <c r="E284" i="1"/>
  <c r="E280" i="1"/>
  <c r="E276" i="1"/>
  <c r="E266" i="1"/>
  <c r="E261" i="1"/>
  <c r="E258" i="1"/>
  <c r="E251" i="1"/>
  <c r="E247" i="1"/>
  <c r="E243" i="1"/>
  <c r="E225" i="1"/>
  <c r="E222" i="1"/>
  <c r="E178" i="1"/>
  <c r="E155" i="1"/>
  <c r="E169" i="1"/>
  <c r="E65" i="1"/>
  <c r="E20" i="1"/>
  <c r="E9" i="1"/>
  <c r="F358" i="1"/>
  <c r="H358" i="1" s="1"/>
  <c r="F348" i="1"/>
  <c r="H348" i="1" s="1"/>
  <c r="F349" i="1"/>
  <c r="H349" i="1" s="1"/>
  <c r="F350" i="1"/>
  <c r="H350" i="1" s="1"/>
  <c r="F351" i="1"/>
  <c r="H351" i="1" s="1"/>
  <c r="F352" i="1"/>
  <c r="H352" i="1" s="1"/>
  <c r="F353" i="1"/>
  <c r="H353" i="1" s="1"/>
  <c r="F347" i="1"/>
  <c r="F342" i="1"/>
  <c r="H342" i="1" s="1"/>
  <c r="F341" i="1"/>
  <c r="F335" i="1"/>
  <c r="F328" i="1"/>
  <c r="H328" i="1" s="1"/>
  <c r="F329" i="1"/>
  <c r="H329" i="1" s="1"/>
  <c r="F330" i="1"/>
  <c r="H330" i="1" s="1"/>
  <c r="F331" i="1"/>
  <c r="H331" i="1" s="1"/>
  <c r="F332" i="1"/>
  <c r="H332" i="1" s="1"/>
  <c r="F326" i="1"/>
  <c r="F320" i="1"/>
  <c r="H320" i="1" s="1"/>
  <c r="F321" i="1"/>
  <c r="H321" i="1" s="1"/>
  <c r="F323" i="1"/>
  <c r="H323" i="1" s="1"/>
  <c r="F316" i="1"/>
  <c r="H316" i="1" s="1"/>
  <c r="F315" i="1"/>
  <c r="F308" i="1"/>
  <c r="H308" i="1" s="1"/>
  <c r="F309" i="1"/>
  <c r="H309" i="1" s="1"/>
  <c r="F310" i="1"/>
  <c r="H310" i="1" s="1"/>
  <c r="F311" i="1"/>
  <c r="H311" i="1" s="1"/>
  <c r="F312" i="1"/>
  <c r="H312" i="1" s="1"/>
  <c r="F307" i="1"/>
  <c r="F304" i="1"/>
  <c r="H304" i="1" s="1"/>
  <c r="F303" i="1"/>
  <c r="F300" i="1"/>
  <c r="H300" i="1" s="1"/>
  <c r="F283" i="1"/>
  <c r="H283" i="1" s="1"/>
  <c r="F282" i="1"/>
  <c r="F279" i="1"/>
  <c r="H279" i="1" s="1"/>
  <c r="F273" i="1"/>
  <c r="H273" i="1" s="1"/>
  <c r="F274" i="1"/>
  <c r="H274" i="1" s="1"/>
  <c r="F275" i="1"/>
  <c r="H275" i="1" s="1"/>
  <c r="F270" i="1"/>
  <c r="H270" i="1" s="1"/>
  <c r="F271" i="1"/>
  <c r="H271" i="1" s="1"/>
  <c r="F272" i="1"/>
  <c r="H272" i="1" s="1"/>
  <c r="F268" i="1"/>
  <c r="F264" i="1"/>
  <c r="H264" i="1" s="1"/>
  <c r="F265" i="1"/>
  <c r="H265" i="1" s="1"/>
  <c r="F260" i="1"/>
  <c r="F254" i="1"/>
  <c r="H254" i="1" s="1"/>
  <c r="F253" i="1"/>
  <c r="F249" i="1"/>
  <c r="F246" i="1"/>
  <c r="H246" i="1" s="1"/>
  <c r="F245" i="1"/>
  <c r="F230" i="1"/>
  <c r="H230" i="1" s="1"/>
  <c r="F231" i="1"/>
  <c r="H231" i="1" s="1"/>
  <c r="F232" i="1"/>
  <c r="H232" i="1" s="1"/>
  <c r="F233" i="1"/>
  <c r="H233" i="1" s="1"/>
  <c r="F234" i="1"/>
  <c r="H234" i="1" s="1"/>
  <c r="F235" i="1"/>
  <c r="H235" i="1" s="1"/>
  <c r="F236" i="1"/>
  <c r="H236" i="1" s="1"/>
  <c r="F237" i="1"/>
  <c r="H237" i="1" s="1"/>
  <c r="F238" i="1"/>
  <c r="H238" i="1" s="1"/>
  <c r="F239" i="1"/>
  <c r="H239" i="1" s="1"/>
  <c r="F240" i="1"/>
  <c r="H240" i="1" s="1"/>
  <c r="F241" i="1"/>
  <c r="H241" i="1" s="1"/>
  <c r="F228" i="1"/>
  <c r="H228" i="1" s="1"/>
  <c r="F229" i="1"/>
  <c r="H229" i="1" s="1"/>
  <c r="F227" i="1"/>
  <c r="F181" i="1"/>
  <c r="H181" i="1" s="1"/>
  <c r="F182" i="1"/>
  <c r="H182" i="1" s="1"/>
  <c r="F183" i="1"/>
  <c r="H183" i="1" s="1"/>
  <c r="F184" i="1"/>
  <c r="H184" i="1" s="1"/>
  <c r="F186" i="1"/>
  <c r="H186" i="1" s="1"/>
  <c r="F187" i="1"/>
  <c r="H187" i="1" s="1"/>
  <c r="F189" i="1"/>
  <c r="H189" i="1" s="1"/>
  <c r="F191" i="1"/>
  <c r="H191" i="1" s="1"/>
  <c r="F193" i="1"/>
  <c r="H193" i="1" s="1"/>
  <c r="F196" i="1"/>
  <c r="H196" i="1" s="1"/>
  <c r="F197" i="1"/>
  <c r="H197" i="1" s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H203" i="1" s="1"/>
  <c r="F204" i="1"/>
  <c r="H204" i="1" s="1"/>
  <c r="F205" i="1"/>
  <c r="H205" i="1" s="1"/>
  <c r="F206" i="1"/>
  <c r="H206" i="1" s="1"/>
  <c r="F207" i="1"/>
  <c r="H207" i="1" s="1"/>
  <c r="F208" i="1"/>
  <c r="H208" i="1" s="1"/>
  <c r="F209" i="1"/>
  <c r="H209" i="1" s="1"/>
  <c r="F210" i="1"/>
  <c r="H210" i="1" s="1"/>
  <c r="F214" i="1"/>
  <c r="H214" i="1" s="1"/>
  <c r="F215" i="1"/>
  <c r="H215" i="1" s="1"/>
  <c r="F216" i="1"/>
  <c r="H216" i="1" s="1"/>
  <c r="F217" i="1"/>
  <c r="H217" i="1" s="1"/>
  <c r="F218" i="1"/>
  <c r="H218" i="1" s="1"/>
  <c r="F219" i="1"/>
  <c r="H219" i="1" s="1"/>
  <c r="F220" i="1"/>
  <c r="H220" i="1" s="1"/>
  <c r="F221" i="1"/>
  <c r="H221" i="1" s="1"/>
  <c r="F180" i="1"/>
  <c r="F172" i="1"/>
  <c r="H172" i="1" s="1"/>
  <c r="F173" i="1"/>
  <c r="H173" i="1" s="1"/>
  <c r="F174" i="1"/>
  <c r="H174" i="1" s="1"/>
  <c r="F175" i="1"/>
  <c r="H175" i="1" s="1"/>
  <c r="F176" i="1"/>
  <c r="H176" i="1" s="1"/>
  <c r="F158" i="1"/>
  <c r="H158" i="1" s="1"/>
  <c r="F159" i="1"/>
  <c r="H159" i="1" s="1"/>
  <c r="F162" i="1"/>
  <c r="H162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69" i="1"/>
  <c r="H69" i="1" s="1"/>
  <c r="F70" i="1"/>
  <c r="H70" i="1" s="1"/>
  <c r="F71" i="1"/>
  <c r="H71" i="1" s="1"/>
  <c r="F72" i="1"/>
  <c r="H72" i="1" s="1"/>
  <c r="F73" i="1"/>
  <c r="H73" i="1" s="1"/>
  <c r="F76" i="1"/>
  <c r="H76" i="1" s="1"/>
  <c r="F79" i="1"/>
  <c r="H79" i="1" s="1"/>
  <c r="F80" i="1"/>
  <c r="H80" i="1" s="1"/>
  <c r="F83" i="1"/>
  <c r="H83" i="1" s="1"/>
  <c r="F86" i="1"/>
  <c r="H86" i="1" s="1"/>
  <c r="F87" i="1"/>
  <c r="H87" i="1" s="1"/>
  <c r="F88" i="1"/>
  <c r="H88" i="1" s="1"/>
  <c r="F91" i="1"/>
  <c r="H91" i="1" s="1"/>
  <c r="F92" i="1"/>
  <c r="H92" i="1" s="1"/>
  <c r="F96" i="1"/>
  <c r="H96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11" i="1"/>
  <c r="H111" i="1" s="1"/>
  <c r="F112" i="1"/>
  <c r="H112" i="1" s="1"/>
  <c r="F114" i="1"/>
  <c r="H114" i="1" s="1"/>
  <c r="F115" i="1"/>
  <c r="H115" i="1" s="1"/>
  <c r="F118" i="1"/>
  <c r="H118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63" i="1"/>
  <c r="H63" i="1" s="1"/>
  <c r="F64" i="1"/>
  <c r="H64" i="1" s="1"/>
  <c r="F62" i="1"/>
  <c r="F51" i="1"/>
  <c r="H51" i="1" s="1"/>
  <c r="F52" i="1"/>
  <c r="H52" i="1" s="1"/>
  <c r="F53" i="1"/>
  <c r="H53" i="1" s="1"/>
  <c r="F54" i="1"/>
  <c r="H54" i="1" s="1"/>
  <c r="F46" i="1"/>
  <c r="H46" i="1" s="1"/>
  <c r="F45" i="1"/>
  <c r="F13" i="1"/>
  <c r="H13" i="1" s="1"/>
  <c r="F14" i="1"/>
  <c r="H14" i="1" s="1"/>
  <c r="F15" i="1"/>
  <c r="H15" i="1" s="1"/>
  <c r="F16" i="1"/>
  <c r="H16" i="1" s="1"/>
  <c r="F17" i="1"/>
  <c r="H17" i="1" s="1"/>
  <c r="F19" i="1"/>
  <c r="H19" i="1" s="1"/>
  <c r="F7" i="1"/>
  <c r="H7" i="1" s="1"/>
  <c r="F58" i="1"/>
  <c r="D338" i="1"/>
  <c r="D336" i="1" s="1"/>
  <c r="F319" i="1"/>
  <c r="D276" i="1"/>
  <c r="D269" i="1"/>
  <c r="F269" i="1" s="1"/>
  <c r="H269" i="1" s="1"/>
  <c r="D250" i="1"/>
  <c r="F250" i="1" s="1"/>
  <c r="H250" i="1" s="1"/>
  <c r="F224" i="1"/>
  <c r="D171" i="1"/>
  <c r="F171" i="1" s="1"/>
  <c r="D177" i="1"/>
  <c r="F177" i="1" s="1"/>
  <c r="H177" i="1" s="1"/>
  <c r="F59" i="1"/>
  <c r="H59" i="1" s="1"/>
  <c r="D30" i="1"/>
  <c r="F30" i="1" s="1"/>
  <c r="H30" i="1" s="1"/>
  <c r="D286" i="1"/>
  <c r="D284" i="1" s="1"/>
  <c r="F157" i="1"/>
  <c r="D67" i="1"/>
  <c r="F67" i="1" s="1"/>
  <c r="H67" i="1" s="1"/>
  <c r="F110" i="1"/>
  <c r="H110" i="1" s="1"/>
  <c r="F109" i="1"/>
  <c r="H109" i="1" s="1"/>
  <c r="D55" i="1"/>
  <c r="F55" i="1" s="1"/>
  <c r="H55" i="1" s="1"/>
  <c r="D50" i="1"/>
  <c r="F50" i="1" s="1"/>
  <c r="D37" i="1"/>
  <c r="F37" i="1" s="1"/>
  <c r="H37" i="1" s="1"/>
  <c r="D12" i="1"/>
  <c r="F12" i="1" s="1"/>
  <c r="D359" i="1"/>
  <c r="C359" i="1"/>
  <c r="D354" i="1"/>
  <c r="C354" i="1"/>
  <c r="D339" i="1"/>
  <c r="C339" i="1"/>
  <c r="C336" i="1"/>
  <c r="D333" i="1"/>
  <c r="C333" i="1"/>
  <c r="D327" i="1"/>
  <c r="D324" i="1" s="1"/>
  <c r="C324" i="1"/>
  <c r="C317" i="1"/>
  <c r="D313" i="1"/>
  <c r="C313" i="1"/>
  <c r="D305" i="1"/>
  <c r="C305" i="1"/>
  <c r="D301" i="1"/>
  <c r="C301" i="1"/>
  <c r="C284" i="1"/>
  <c r="D280" i="1"/>
  <c r="C280" i="1"/>
  <c r="C276" i="1"/>
  <c r="C266" i="1"/>
  <c r="D263" i="1"/>
  <c r="F263" i="1" s="1"/>
  <c r="C261" i="1"/>
  <c r="D258" i="1"/>
  <c r="C258" i="1"/>
  <c r="D251" i="1"/>
  <c r="C251" i="1"/>
  <c r="C247" i="1"/>
  <c r="D243" i="1"/>
  <c r="C243" i="1"/>
  <c r="D242" i="1"/>
  <c r="F242" i="1" s="1"/>
  <c r="H242" i="1" s="1"/>
  <c r="C225" i="1"/>
  <c r="C222" i="1"/>
  <c r="D178" i="1"/>
  <c r="C178" i="1"/>
  <c r="C169" i="1"/>
  <c r="C155" i="1"/>
  <c r="F154" i="1"/>
  <c r="H154" i="1" s="1"/>
  <c r="D132" i="1"/>
  <c r="F132" i="1" s="1"/>
  <c r="H132" i="1" s="1"/>
  <c r="D131" i="1"/>
  <c r="F131" i="1" s="1"/>
  <c r="H131" i="1" s="1"/>
  <c r="D130" i="1"/>
  <c r="F130" i="1" s="1"/>
  <c r="H130" i="1" s="1"/>
  <c r="D129" i="1"/>
  <c r="F129" i="1" s="1"/>
  <c r="H129" i="1" s="1"/>
  <c r="D128" i="1"/>
  <c r="F128" i="1" s="1"/>
  <c r="H128" i="1" s="1"/>
  <c r="D127" i="1"/>
  <c r="F127" i="1" s="1"/>
  <c r="H127" i="1" s="1"/>
  <c r="D126" i="1"/>
  <c r="F126" i="1" s="1"/>
  <c r="H126" i="1" s="1"/>
  <c r="D125" i="1"/>
  <c r="F125" i="1" s="1"/>
  <c r="H125" i="1" s="1"/>
  <c r="D124" i="1"/>
  <c r="F124" i="1" s="1"/>
  <c r="H124" i="1" s="1"/>
  <c r="D123" i="1"/>
  <c r="F123" i="1" s="1"/>
  <c r="H123" i="1" s="1"/>
  <c r="D122" i="1"/>
  <c r="F122" i="1" s="1"/>
  <c r="H122" i="1" s="1"/>
  <c r="D121" i="1"/>
  <c r="F121" i="1" s="1"/>
  <c r="H121" i="1" s="1"/>
  <c r="D120" i="1"/>
  <c r="F120" i="1" s="1"/>
  <c r="H120" i="1" s="1"/>
  <c r="C65" i="1"/>
  <c r="D60" i="1"/>
  <c r="C60" i="1"/>
  <c r="C56" i="1"/>
  <c r="C48" i="1"/>
  <c r="D47" i="1"/>
  <c r="F47" i="1" s="1"/>
  <c r="H47" i="1" s="1"/>
  <c r="C43" i="1"/>
  <c r="C9" i="1"/>
  <c r="G344" i="1" l="1"/>
  <c r="G355" i="1" s="1"/>
  <c r="F24" i="1"/>
  <c r="H24" i="1" s="1"/>
  <c r="H65" i="1"/>
  <c r="H58" i="1"/>
  <c r="F56" i="1"/>
  <c r="H56" i="1" s="1"/>
  <c r="F60" i="1"/>
  <c r="H60" i="1" s="1"/>
  <c r="H62" i="1"/>
  <c r="H249" i="1"/>
  <c r="F247" i="1"/>
  <c r="H247" i="1" s="1"/>
  <c r="H335" i="1"/>
  <c r="F333" i="1"/>
  <c r="H333" i="1" s="1"/>
  <c r="F48" i="1"/>
  <c r="H48" i="1" s="1"/>
  <c r="H50" i="1"/>
  <c r="H45" i="1"/>
  <c r="F43" i="1"/>
  <c r="H43" i="1" s="1"/>
  <c r="F155" i="1"/>
  <c r="H155" i="1" s="1"/>
  <c r="H157" i="1"/>
  <c r="F178" i="1"/>
  <c r="H178" i="1" s="1"/>
  <c r="H180" i="1"/>
  <c r="F243" i="1"/>
  <c r="H243" i="1" s="1"/>
  <c r="H245" i="1"/>
  <c r="F9" i="1"/>
  <c r="H9" i="1" s="1"/>
  <c r="H253" i="1"/>
  <c r="F251" i="1"/>
  <c r="H251" i="1" s="1"/>
  <c r="F313" i="1"/>
  <c r="H313" i="1" s="1"/>
  <c r="H315" i="1"/>
  <c r="F339" i="1"/>
  <c r="H339" i="1" s="1"/>
  <c r="H341" i="1"/>
  <c r="H268" i="1"/>
  <c r="F266" i="1"/>
  <c r="H266" i="1" s="1"/>
  <c r="F65" i="1"/>
  <c r="F280" i="1"/>
  <c r="H280" i="1" s="1"/>
  <c r="H282" i="1"/>
  <c r="F261" i="1"/>
  <c r="H261" i="1" s="1"/>
  <c r="H263" i="1"/>
  <c r="F20" i="1"/>
  <c r="H20" i="1" s="1"/>
  <c r="H12" i="1"/>
  <c r="F169" i="1"/>
  <c r="H169" i="1" s="1"/>
  <c r="H171" i="1"/>
  <c r="H260" i="1"/>
  <c r="F258" i="1"/>
  <c r="F354" i="1"/>
  <c r="H354" i="1" s="1"/>
  <c r="H347" i="1"/>
  <c r="F222" i="1"/>
  <c r="H222" i="1" s="1"/>
  <c r="H224" i="1"/>
  <c r="F301" i="1"/>
  <c r="H301" i="1" s="1"/>
  <c r="H303" i="1"/>
  <c r="H326" i="1"/>
  <c r="H27" i="1"/>
  <c r="H227" i="1"/>
  <c r="F225" i="1"/>
  <c r="H225" i="1" s="1"/>
  <c r="H307" i="1"/>
  <c r="F305" i="1"/>
  <c r="H305" i="1" s="1"/>
  <c r="F317" i="1"/>
  <c r="H317" i="1" s="1"/>
  <c r="H319" i="1"/>
  <c r="D24" i="1"/>
  <c r="D222" i="1"/>
  <c r="E343" i="1"/>
  <c r="F278" i="1"/>
  <c r="E255" i="1"/>
  <c r="F327" i="1"/>
  <c r="H327" i="1" s="1"/>
  <c r="F359" i="1"/>
  <c r="H359" i="1" s="1"/>
  <c r="F286" i="1"/>
  <c r="F338" i="1"/>
  <c r="E21" i="1"/>
  <c r="D266" i="1"/>
  <c r="D169" i="1"/>
  <c r="D56" i="1"/>
  <c r="D155" i="1"/>
  <c r="D317" i="1"/>
  <c r="D9" i="1"/>
  <c r="C21" i="1"/>
  <c r="D48" i="1"/>
  <c r="D65" i="1"/>
  <c r="C255" i="1"/>
  <c r="D261" i="1"/>
  <c r="D20" i="1"/>
  <c r="C343" i="1"/>
  <c r="D225" i="1"/>
  <c r="D43" i="1"/>
  <c r="D247" i="1"/>
  <c r="F324" i="1" l="1"/>
  <c r="H324" i="1" s="1"/>
  <c r="F276" i="1"/>
  <c r="H276" i="1" s="1"/>
  <c r="H278" i="1"/>
  <c r="F255" i="1"/>
  <c r="H255" i="1" s="1"/>
  <c r="H338" i="1"/>
  <c r="F336" i="1"/>
  <c r="H336" i="1" s="1"/>
  <c r="H258" i="1"/>
  <c r="F284" i="1"/>
  <c r="H284" i="1" s="1"/>
  <c r="H286" i="1"/>
  <c r="E344" i="1"/>
  <c r="E355" i="1" s="1"/>
  <c r="D343" i="1"/>
  <c r="D21" i="1"/>
  <c r="F21" i="1" s="1"/>
  <c r="H21" i="1" s="1"/>
  <c r="C344" i="1"/>
  <c r="D255" i="1"/>
  <c r="F343" i="1" l="1"/>
  <c r="H343" i="1" s="1"/>
  <c r="C355" i="1"/>
  <c r="D344" i="1"/>
  <c r="D355" i="1" s="1"/>
  <c r="F344" i="1" l="1"/>
  <c r="H344" i="1" s="1"/>
  <c r="F355" i="1"/>
  <c r="H355" i="1" s="1"/>
</calcChain>
</file>

<file path=xl/sharedStrings.xml><?xml version="1.0" encoding="utf-8"?>
<sst xmlns="http://schemas.openxmlformats.org/spreadsheetml/2006/main" count="549" uniqueCount="339">
  <si>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</si>
  <si>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</si>
  <si>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</si>
  <si>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</si>
  <si>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</si>
  <si>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</si>
  <si>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</si>
  <si>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</si>
  <si>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</si>
  <si>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</si>
  <si>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</si>
  <si>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</si>
  <si>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</si>
  <si>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</si>
  <si>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</si>
  <si>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</si>
  <si>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</si>
  <si>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</si>
  <si>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</si>
  <si>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</si>
  <si>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</si>
  <si>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</si>
  <si>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</si>
  <si>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</si>
  <si>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</si>
  <si>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</si>
  <si>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</si>
  <si>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</si>
  <si>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</si>
  <si>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</si>
  <si>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</si>
  <si>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</si>
  <si>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</si>
  <si>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</si>
  <si>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</si>
  <si>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</si>
  <si>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</si>
  <si>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</si>
  <si>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</si>
  <si>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</si>
  <si>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</si>
  <si>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</si>
  <si>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</si>
  <si>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</si>
  <si>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</si>
  <si>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</si>
  <si>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</si>
  <si>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</si>
  <si>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</si>
  <si>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</si>
  <si>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</si>
  <si>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</si>
  <si>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</si>
  <si>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</si>
  <si>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</si>
  <si>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</si>
  <si>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</si>
  <si>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</si>
  <si>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</si>
  <si>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</si>
  <si>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</si>
  <si>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</si>
  <si>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</si>
  <si>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</si>
  <si>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</si>
  <si>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</si>
  <si>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</si>
  <si>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</si>
  <si>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</si>
  <si>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</si>
  <si>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</si>
  <si>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</si>
  <si>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</si>
  <si>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</si>
  <si>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</si>
  <si>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</si>
  <si>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</si>
  <si>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</si>
  <si>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</si>
  <si>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</si>
  <si>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</si>
  <si>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</si>
  <si>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</si>
  <si>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</si>
  <si>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</si>
  <si>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</si>
  <si>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</si>
  <si>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</si>
  <si>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</si>
  <si>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</si>
  <si>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</si>
  <si>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</si>
  <si>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</si>
  <si>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</si>
  <si>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</si>
  <si>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</si>
  <si>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</si>
  <si>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</si>
  <si>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</si>
  <si>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</si>
  <si>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</si>
  <si>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</si>
  <si>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</si>
  <si>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</si>
  <si>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</si>
  <si>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</si>
  <si>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</si>
  <si>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</si>
  <si>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</si>
  <si>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</si>
  <si>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</si>
  <si>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</si>
  <si>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</si>
  <si>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</si>
  <si>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</si>
  <si>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</si>
  <si>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</si>
  <si>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</si>
  <si>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</si>
  <si>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</si>
  <si>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</si>
  <si>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</si>
  <si>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</si>
  <si>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</si>
  <si>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</si>
  <si>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</si>
  <si>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</si>
  <si>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</si>
  <si>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</si>
  <si>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</si>
  <si>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</si>
  <si>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</si>
  <si>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</si>
  <si>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</si>
  <si>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</si>
  <si>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</si>
  <si>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</si>
  <si>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</si>
  <si>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</si>
  <si>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</si>
  <si>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</si>
  <si>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</si>
  <si>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</si>
  <si>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</si>
  <si>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</si>
  <si>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</si>
  <si>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</si>
  <si>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</si>
  <si>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</si>
  <si>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</si>
  <si>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</si>
  <si>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</si>
  <si>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</si>
  <si>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</si>
  <si>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</si>
  <si>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</si>
  <si>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</si>
  <si>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</si>
  <si>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</si>
  <si>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</si>
  <si>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</si>
  <si>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</si>
  <si>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</si>
  <si>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</si>
  <si>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</si>
  <si>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</si>
  <si>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</si>
  <si>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</si>
  <si>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</si>
  <si>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</si>
  <si>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</si>
  <si>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</si>
  <si>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</si>
  <si>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</si>
  <si>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</si>
  <si>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</si>
  <si>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</si>
  <si>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</si>
  <si>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</si>
  <si>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</si>
  <si>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</si>
  <si>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</si>
  <si>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</si>
  <si>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</si>
  <si>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</si>
  <si>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</si>
  <si>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</si>
  <si>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</si>
  <si>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</si>
  <si>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</si>
  <si>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</si>
  <si>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</si>
  <si>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</si>
  <si>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</si>
  <si>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</si>
  <si>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</si>
  <si>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</si>
  <si>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</si>
  <si>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</si>
  <si>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</si>
  <si>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</si>
  <si>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</si>
  <si>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</si>
  <si>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</si>
  <si>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</si>
  <si>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</si>
  <si>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</si>
  <si>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</si>
  <si>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</si>
  <si>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</si>
  <si>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</si>
  <si>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</si>
  <si>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</si>
  <si>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</si>
  <si>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</si>
  <si>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</si>
  <si>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</si>
  <si>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</si>
  <si>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</si>
  <si>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</si>
  <si>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</si>
  <si>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</si>
  <si>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</si>
  <si>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</si>
  <si>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</si>
  <si>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</si>
  <si>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</si>
  <si>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</si>
  <si>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</si>
  <si>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</si>
  <si>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</si>
  <si>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</si>
  <si>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</si>
  <si>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</si>
  <si>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</si>
  <si>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</si>
  <si>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</si>
  <si>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</si>
  <si>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</si>
  <si>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</si>
  <si>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</si>
  <si>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</si>
  <si>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</si>
  <si>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</si>
  <si>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</si>
  <si>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</si>
  <si>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</si>
  <si>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</si>
  <si>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</si>
  <si>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</si>
  <si>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</si>
  <si>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</si>
  <si>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</si>
  <si>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</si>
  <si>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</si>
  <si>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</si>
  <si>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</si>
  <si>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</si>
  <si>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</si>
  <si>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</si>
  <si>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</si>
  <si>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</si>
  <si>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</si>
  <si>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</si>
  <si>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</si>
  <si>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</si>
  <si>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</si>
  <si>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</si>
  <si>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</si>
  <si>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</si>
  <si>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</si>
  <si>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</si>
  <si>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</si>
  <si>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</si>
  <si>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</si>
  <si>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</si>
  <si>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</si>
  <si>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</si>
  <si>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</si>
  <si>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</si>
  <si>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</si>
  <si>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</si>
  <si>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</si>
  <si>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</si>
  <si>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</si>
  <si>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</si>
  <si>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</si>
  <si>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</si>
  <si>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</si>
  <si>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</si>
  <si>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</si>
  <si>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</si>
  <si>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</si>
  <si>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</si>
  <si>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</si>
  <si>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</si>
  <si>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</si>
  <si>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</si>
  <si>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</si>
  <si>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</si>
  <si>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</si>
  <si>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</si>
  <si>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</si>
  <si>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</si>
  <si>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</si>
  <si>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</si>
  <si>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</si>
  <si>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</si>
  <si>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</si>
  <si>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</si>
  <si>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</si>
  <si>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</si>
  <si>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</si>
  <si>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</si>
  <si>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</si>
  <si>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</si>
  <si>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</si>
  <si>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</si>
  <si>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</si>
  <si>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</si>
  <si>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</si>
  <si>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</si>
  <si>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</si>
  <si>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</si>
  <si>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</si>
  <si>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</si>
  <si>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</si>
  <si>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</si>
  <si>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</si>
  <si>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</si>
  <si>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</si>
  <si>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</si>
  <si>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</si>
  <si>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Rozpočet roku 2024 po 1. změně a po rozpočtových opatřeních RM                  č. 1 - 73                                        (v tis. Kč)</t>
  </si>
  <si>
    <t>Rozpočtová opatření RM                                  č. 35 - 73                                           (v tis. Kč)</t>
  </si>
  <si>
    <t>Taneční studio DANCEPOINT,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</si>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</sst>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right" vertical="center"/>
    </xf>
    <xf numFmtId="4" fontId="4" fillId="0" borderId="17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2" xfId="0" applyNumberFormat="1" applyFont="1" applyFill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/>
    </xf>
    <xf numFmtId="4" fontId="4" fillId="0" borderId="27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/>
    </xf>
    <xf numFmtId="0" fontId="0" fillId="0" borderId="29" xfId="0" applyBorder="1"/>
    <xf numFmtId="0" fontId="0" fillId="4" borderId="28" xfId="0" applyFill="1" applyBorder="1"/>
    <xf numFmtId="4" fontId="4" fillId="0" borderId="30" xfId="0" applyNumberFormat="1" applyFont="1" applyBorder="1"/>
    <xf numFmtId="4" fontId="4" fillId="0" borderId="31" xfId="0" applyNumberFormat="1" applyFont="1" applyBorder="1"/>
    <xf numFmtId="4" fontId="4" fillId="0" borderId="32" xfId="0" applyNumberFormat="1" applyFont="1" applyBorder="1"/>
    <xf numFmtId="4" fontId="5" fillId="4" borderId="28" xfId="0" applyNumberFormat="1" applyFont="1" applyFill="1" applyBorder="1"/>
    <xf numFmtId="4" fontId="0" fillId="0" borderId="29" xfId="0" applyNumberFormat="1" applyBorder="1"/>
    <xf numFmtId="4" fontId="0" fillId="5" borderId="28" xfId="0" applyNumberFormat="1" applyFill="1" applyBorder="1"/>
    <xf numFmtId="4" fontId="3" fillId="5" borderId="28" xfId="0" applyNumberFormat="1" applyFont="1" applyFill="1" applyBorder="1"/>
    <xf numFmtId="4" fontId="5" fillId="6" borderId="28" xfId="0" applyNumberFormat="1" applyFont="1" applyFill="1" applyBorder="1"/>
    <xf numFmtId="4" fontId="4" fillId="0" borderId="29" xfId="0" applyNumberFormat="1" applyFont="1" applyBorder="1"/>
    <xf numFmtId="4" fontId="4" fillId="7" borderId="28" xfId="0" applyNumberFormat="1" applyFont="1" applyFill="1" applyBorder="1"/>
    <xf numFmtId="4" fontId="3" fillId="8" borderId="28" xfId="0" applyNumberFormat="1" applyFont="1" applyFill="1" applyBorder="1"/>
    <xf numFmtId="4" fontId="3" fillId="7" borderId="28" xfId="0" applyNumberFormat="1" applyFont="1" applyFill="1" applyBorder="1"/>
    <xf numFmtId="4" fontId="4" fillId="5" borderId="28" xfId="0" applyNumberFormat="1" applyFont="1" applyFill="1" applyBorder="1"/>
    <xf numFmtId="0" fontId="7" fillId="7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4" fontId="4" fillId="0" borderId="8" xfId="0" applyNumberFormat="1" applyFont="1" applyBorder="1"/>
    <xf numFmtId="4" fontId="4" fillId="0" borderId="17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3" xfId="0" applyNumberFormat="1" applyFont="1" applyBorder="1"/>
    <xf numFmtId="4" fontId="4" fillId="0" borderId="6" xfId="0" applyNumberFormat="1" applyFont="1" applyBorder="1"/>
    <xf numFmtId="4" fontId="4" fillId="3" borderId="8" xfId="0" applyNumberFormat="1" applyFont="1" applyFill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6" fillId="0" borderId="13" xfId="0" applyNumberFormat="1" applyFont="1" applyBorder="1"/>
    <xf numFmtId="4" fontId="4" fillId="3" borderId="13" xfId="0" applyNumberFormat="1" applyFont="1" applyFill="1" applyBorder="1"/>
    <xf numFmtId="4" fontId="4" fillId="3" borderId="5" xfId="0" applyNumberFormat="1" applyFont="1" applyFill="1" applyBorder="1"/>
    <xf numFmtId="4" fontId="4" fillId="0" borderId="5" xfId="0" applyNumberFormat="1" applyFont="1" applyBorder="1"/>
    <xf numFmtId="4" fontId="4" fillId="3" borderId="17" xfId="0" applyNumberFormat="1" applyFont="1" applyFill="1" applyBorder="1"/>
    <xf numFmtId="4" fontId="4" fillId="3" borderId="12" xfId="0" applyNumberFormat="1" applyFont="1" applyFill="1" applyBorder="1"/>
    <xf numFmtId="4" fontId="4" fillId="0" borderId="18" xfId="0" applyNumberFormat="1" applyFont="1" applyBorder="1"/>
    <xf numFmtId="4" fontId="4" fillId="0" borderId="24" xfId="0" applyNumberFormat="1" applyFont="1" applyBorder="1"/>
    <xf numFmtId="4" fontId="4" fillId="0" borderId="21" xfId="0" applyNumberFormat="1" applyFont="1" applyBorder="1"/>
    <xf numFmtId="4" fontId="4" fillId="0" borderId="26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6" fillId="3" borderId="11" xfId="0" applyFont="1" applyFill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0" borderId="34" xfId="0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right" vertical="center"/>
    </xf>
    <xf numFmtId="4" fontId="4" fillId="0" borderId="35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/>
    <xf numFmtId="4" fontId="7" fillId="5" borderId="3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vertical="center"/>
    </xf>
    <xf numFmtId="4" fontId="7" fillId="5" borderId="19" xfId="0" applyNumberFormat="1" applyFont="1" applyFill="1" applyBorder="1" applyAlignment="1">
      <alignment vertical="center"/>
    </xf>
    <xf numFmtId="4" fontId="3" fillId="5" borderId="28" xfId="0" applyNumberFormat="1" applyFont="1" applyFill="1" applyBorder="1" applyAlignment="1">
      <alignment vertical="center"/>
    </xf>
    <xf numFmtId="0" fontId="4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62"/>
  <sheetViews>
    <sheetView tabSelected="1" view="pageLayout" topLeftCell="A348" zoomScale="110" zoomScaleNormal="100" zoomScalePageLayoutView="110" workbookViewId="0">
      <selection activeCell="A352" sqref="A352"/>
    </sheetView>
  </sheetViews>
  <sheetFormatPr defaultColWidth="9.140625" defaultRowHeight="15" x14ac:dyDescent="0.25"/>
  <cols>
    <col min="1" max="1" width="60.7109375" customWidth="1"/>
    <col min="2" max="2" width="17.5703125" customWidth="1"/>
    <col min="3" max="3" width="13.42578125" customWidth="1"/>
    <col min="4" max="5" width="13.42578125" hidden="1" customWidth="1"/>
    <col min="6" max="7" width="13.140625" customWidth="1"/>
    <col min="8" max="8" width="13.5703125" customWidth="1"/>
    <col min="12" max="12" width="11" customWidth="1"/>
  </cols>
  <sheetData>
    <row r="1" spans="1:8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90" t="s">
        <v>293</v>
      </c>
      <c r="F1" s="3" t="s">
        <v>294</v>
      </c>
      <c r="G1" s="108" t="s">
        <v>334</v>
      </c>
      <c r="H1" s="123" t="s">
        <v>333</v>
      </c>
    </row>
    <row r="2" spans="1:8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91" t="s">
        <v>7</v>
      </c>
      <c r="F2" s="6" t="s">
        <v>6</v>
      </c>
      <c r="G2" s="113" t="s">
        <v>7</v>
      </c>
      <c r="H2" s="124" t="s">
        <v>270</v>
      </c>
    </row>
    <row r="3" spans="1:8" ht="9.75" customHeight="1" thickBot="1" x14ac:dyDescent="0.3">
      <c r="A3" s="7"/>
      <c r="B3" s="8"/>
      <c r="C3" s="9"/>
      <c r="D3" s="9"/>
      <c r="E3" s="141"/>
      <c r="F3" s="9"/>
      <c r="G3" s="109"/>
      <c r="H3" s="125"/>
    </row>
    <row r="4" spans="1:8" ht="16.5" customHeight="1" thickBot="1" x14ac:dyDescent="0.3">
      <c r="A4" s="10" t="s">
        <v>8</v>
      </c>
      <c r="B4" s="11"/>
      <c r="C4" s="12"/>
      <c r="D4" s="13"/>
      <c r="E4" s="92"/>
      <c r="F4" s="111"/>
      <c r="G4" s="112"/>
      <c r="H4" s="126"/>
    </row>
    <row r="5" spans="1:8" ht="15" customHeight="1" x14ac:dyDescent="0.25">
      <c r="A5" s="14" t="s">
        <v>9</v>
      </c>
      <c r="B5" s="15"/>
      <c r="C5" s="16">
        <v>1236720</v>
      </c>
      <c r="D5" s="16">
        <v>0</v>
      </c>
      <c r="E5" s="93">
        <v>4377.25</v>
      </c>
      <c r="F5" s="16">
        <f>SUM(C5:E5)</f>
        <v>1241097.25</v>
      </c>
      <c r="G5" s="16">
        <f>0</f>
        <v>0</v>
      </c>
      <c r="H5" s="127">
        <f>SUM(F5:G5)</f>
        <v>1241097.25</v>
      </c>
    </row>
    <row r="6" spans="1:8" ht="15" customHeight="1" x14ac:dyDescent="0.25">
      <c r="A6" s="14" t="s">
        <v>10</v>
      </c>
      <c r="B6" s="15"/>
      <c r="C6" s="16">
        <v>183315</v>
      </c>
      <c r="D6" s="16">
        <f>464.64+421.2+355.59</f>
        <v>1241.4299999999998</v>
      </c>
      <c r="E6" s="93">
        <v>5579.59</v>
      </c>
      <c r="F6" s="19">
        <f>SUM(C6:E6)</f>
        <v>190136.02</v>
      </c>
      <c r="G6" s="19">
        <f>583.66+0.1+68.97+402.9+5.47+330.04</f>
        <v>1391.14</v>
      </c>
      <c r="H6" s="128">
        <f t="shared" ref="H6:H80" si="0">SUM(F6:G6)</f>
        <v>191527.16</v>
      </c>
    </row>
    <row r="7" spans="1:8" ht="15" customHeight="1" x14ac:dyDescent="0.25">
      <c r="A7" s="17" t="s">
        <v>11</v>
      </c>
      <c r="B7" s="18"/>
      <c r="C7" s="19">
        <v>1500</v>
      </c>
      <c r="D7" s="19">
        <v>0</v>
      </c>
      <c r="E7" s="94">
        <v>0</v>
      </c>
      <c r="F7" s="19">
        <f t="shared" ref="F7:F8" si="1">SUM(C7:E7)</f>
        <v>1500</v>
      </c>
      <c r="G7" s="19">
        <f>0</f>
        <v>0</v>
      </c>
      <c r="H7" s="128">
        <f t="shared" si="0"/>
        <v>1500</v>
      </c>
    </row>
    <row r="8" spans="1:8" ht="13.5" customHeight="1" thickBot="1" x14ac:dyDescent="0.3">
      <c r="A8" s="20" t="s">
        <v>12</v>
      </c>
      <c r="B8" s="21"/>
      <c r="C8" s="22">
        <v>153641.62</v>
      </c>
      <c r="D8" s="22">
        <f>185.4+331.56</f>
        <v>516.96</v>
      </c>
      <c r="E8" s="95">
        <v>1195.6199999999999</v>
      </c>
      <c r="F8" s="22">
        <f t="shared" si="1"/>
        <v>155354.19999999998</v>
      </c>
      <c r="G8" s="22">
        <f>0+217+59749.9-402.9+15+3673</f>
        <v>63252</v>
      </c>
      <c r="H8" s="129">
        <f t="shared" si="0"/>
        <v>218606.19999999998</v>
      </c>
    </row>
    <row r="9" spans="1:8" ht="16.5" customHeight="1" thickBot="1" x14ac:dyDescent="0.3">
      <c r="A9" s="23" t="s">
        <v>13</v>
      </c>
      <c r="B9" s="24"/>
      <c r="C9" s="25">
        <f t="shared" ref="C9" si="2">SUM(C5:C8)</f>
        <v>1575176.62</v>
      </c>
      <c r="D9" s="25">
        <f>SUM(D5:D8)</f>
        <v>1758.3899999999999</v>
      </c>
      <c r="E9" s="96">
        <f>SUM(E5:E8)</f>
        <v>11152.46</v>
      </c>
      <c r="F9" s="25">
        <f>SUM(F5:F8)</f>
        <v>1588087.47</v>
      </c>
      <c r="G9" s="25">
        <f>SUM(G5:G8)</f>
        <v>64643.14</v>
      </c>
      <c r="H9" s="130">
        <f t="shared" si="0"/>
        <v>1652730.6099999999</v>
      </c>
    </row>
    <row r="10" spans="1:8" ht="15" customHeight="1" thickBot="1" x14ac:dyDescent="0.3">
      <c r="A10" s="26"/>
      <c r="B10" s="27"/>
      <c r="C10" s="28"/>
      <c r="D10" s="28"/>
      <c r="E10" s="97"/>
      <c r="F10" s="28"/>
      <c r="G10" s="28"/>
      <c r="H10" s="131"/>
    </row>
    <row r="11" spans="1:8" ht="15" customHeight="1" thickBot="1" x14ac:dyDescent="0.3">
      <c r="A11" s="29" t="s">
        <v>14</v>
      </c>
      <c r="B11" s="30"/>
      <c r="C11" s="31"/>
      <c r="D11" s="31"/>
      <c r="E11" s="98"/>
      <c r="F11" s="31"/>
      <c r="G11" s="31"/>
      <c r="H11" s="132"/>
    </row>
    <row r="12" spans="1:8" x14ac:dyDescent="0.25">
      <c r="A12" s="14" t="s">
        <v>15</v>
      </c>
      <c r="B12" s="15"/>
      <c r="C12" s="149">
        <v>408497.84</v>
      </c>
      <c r="D12" s="149">
        <f>77.23</f>
        <v>77.23</v>
      </c>
      <c r="E12" s="143">
        <v>75986.880000000005</v>
      </c>
      <c r="F12" s="142">
        <f>SUM(C12:E12)</f>
        <v>484561.95</v>
      </c>
      <c r="G12" s="142">
        <v>0</v>
      </c>
      <c r="H12" s="127">
        <f t="shared" si="0"/>
        <v>484561.95</v>
      </c>
    </row>
    <row r="13" spans="1:8" x14ac:dyDescent="0.25">
      <c r="A13" s="17" t="s">
        <v>16</v>
      </c>
      <c r="B13" s="18"/>
      <c r="C13" s="150">
        <v>139450.20000000001</v>
      </c>
      <c r="D13" s="150">
        <v>0</v>
      </c>
      <c r="E13" s="145">
        <v>185421.03</v>
      </c>
      <c r="F13" s="142">
        <f t="shared" ref="F13:F19" si="3">SUM(C13:E13)</f>
        <v>324871.23</v>
      </c>
      <c r="G13" s="144">
        <v>0</v>
      </c>
      <c r="H13" s="128">
        <f t="shared" si="0"/>
        <v>324871.23</v>
      </c>
    </row>
    <row r="14" spans="1:8" ht="15" customHeight="1" x14ac:dyDescent="0.25">
      <c r="A14" s="17" t="s">
        <v>17</v>
      </c>
      <c r="B14" s="18"/>
      <c r="C14" s="144">
        <v>12655</v>
      </c>
      <c r="D14" s="144">
        <v>0</v>
      </c>
      <c r="E14" s="145">
        <v>0</v>
      </c>
      <c r="F14" s="142">
        <f t="shared" si="3"/>
        <v>12655</v>
      </c>
      <c r="G14" s="144">
        <v>0</v>
      </c>
      <c r="H14" s="128">
        <f t="shared" si="0"/>
        <v>12655</v>
      </c>
    </row>
    <row r="15" spans="1:8" ht="26.25" customHeight="1" x14ac:dyDescent="0.25">
      <c r="A15" s="17" t="s">
        <v>18</v>
      </c>
      <c r="B15" s="18"/>
      <c r="C15" s="151">
        <v>2450</v>
      </c>
      <c r="D15" s="151">
        <v>0</v>
      </c>
      <c r="E15" s="145">
        <v>0</v>
      </c>
      <c r="F15" s="142">
        <f t="shared" si="3"/>
        <v>2450</v>
      </c>
      <c r="G15" s="144">
        <v>0</v>
      </c>
      <c r="H15" s="128">
        <f>SUM(F15:G15)</f>
        <v>2450</v>
      </c>
    </row>
    <row r="16" spans="1:8" ht="15" customHeight="1" x14ac:dyDescent="0.25">
      <c r="A16" s="17" t="s">
        <v>19</v>
      </c>
      <c r="B16" s="18"/>
      <c r="C16" s="151">
        <v>0</v>
      </c>
      <c r="D16" s="151">
        <v>0</v>
      </c>
      <c r="E16" s="145">
        <v>0</v>
      </c>
      <c r="F16" s="142">
        <f t="shared" si="3"/>
        <v>0</v>
      </c>
      <c r="G16" s="144">
        <v>0</v>
      </c>
      <c r="H16" s="128">
        <f t="shared" si="0"/>
        <v>0</v>
      </c>
    </row>
    <row r="17" spans="1:8" ht="17.25" customHeight="1" x14ac:dyDescent="0.25">
      <c r="A17" s="17" t="s">
        <v>20</v>
      </c>
      <c r="B17" s="18"/>
      <c r="C17" s="151">
        <v>3000</v>
      </c>
      <c r="D17" s="151">
        <v>0</v>
      </c>
      <c r="E17" s="145">
        <v>0</v>
      </c>
      <c r="F17" s="142">
        <f t="shared" si="3"/>
        <v>3000</v>
      </c>
      <c r="G17" s="144">
        <v>0</v>
      </c>
      <c r="H17" s="128">
        <f t="shared" si="0"/>
        <v>3000</v>
      </c>
    </row>
    <row r="18" spans="1:8" ht="14.25" customHeight="1" x14ac:dyDescent="0.25">
      <c r="A18" s="34" t="s">
        <v>21</v>
      </c>
      <c r="B18" s="18"/>
      <c r="C18" s="151">
        <v>0</v>
      </c>
      <c r="D18" s="151">
        <v>0</v>
      </c>
      <c r="E18" s="145">
        <v>0</v>
      </c>
      <c r="F18" s="142">
        <f>SUM(C18:E18)</f>
        <v>0</v>
      </c>
      <c r="G18" s="144">
        <v>0</v>
      </c>
      <c r="H18" s="128">
        <f t="shared" si="0"/>
        <v>0</v>
      </c>
    </row>
    <row r="19" spans="1:8" ht="15" customHeight="1" thickBot="1" x14ac:dyDescent="0.3">
      <c r="A19" s="20" t="s">
        <v>22</v>
      </c>
      <c r="B19" s="21"/>
      <c r="C19" s="146">
        <v>0</v>
      </c>
      <c r="D19" s="146">
        <v>0</v>
      </c>
      <c r="E19" s="147">
        <v>0</v>
      </c>
      <c r="F19" s="148">
        <f t="shared" si="3"/>
        <v>0</v>
      </c>
      <c r="G19" s="146">
        <v>0</v>
      </c>
      <c r="H19" s="129">
        <f t="shared" si="0"/>
        <v>0</v>
      </c>
    </row>
    <row r="20" spans="1:8" ht="15.75" customHeight="1" thickBot="1" x14ac:dyDescent="0.3">
      <c r="A20" s="29" t="s">
        <v>23</v>
      </c>
      <c r="B20" s="35"/>
      <c r="C20" s="36">
        <f>SUM(C12:C19)</f>
        <v>566053.04</v>
      </c>
      <c r="D20" s="36">
        <f>SUM(D12:D19)</f>
        <v>77.23</v>
      </c>
      <c r="E20" s="99">
        <f>SUM(E12:E19)</f>
        <v>261407.91</v>
      </c>
      <c r="F20" s="36">
        <f>SUM(F12:F19)</f>
        <v>827538.17999999993</v>
      </c>
      <c r="G20" s="36">
        <f>SUM(G12:G19)</f>
        <v>0</v>
      </c>
      <c r="H20" s="133">
        <f>SUM(F20:G20)</f>
        <v>827538.17999999993</v>
      </c>
    </row>
    <row r="21" spans="1:8" ht="17.25" customHeight="1" thickBot="1" x14ac:dyDescent="0.3">
      <c r="A21" s="37" t="s">
        <v>24</v>
      </c>
      <c r="B21" s="38"/>
      <c r="C21" s="39">
        <f>SUM(C9+C20)</f>
        <v>2141229.66</v>
      </c>
      <c r="D21" s="39">
        <f>SUM(D9+D20)</f>
        <v>1835.62</v>
      </c>
      <c r="E21" s="100">
        <f>E9+E20</f>
        <v>272560.37</v>
      </c>
      <c r="F21" s="39">
        <f>SUM(C21:E21)</f>
        <v>2415625.6500000004</v>
      </c>
      <c r="G21" s="39">
        <f>SUM(G9+G20)</f>
        <v>64643.14</v>
      </c>
      <c r="H21" s="134">
        <f>SUM(F21:G21)</f>
        <v>2480268.7900000005</v>
      </c>
    </row>
    <row r="22" spans="1:8" ht="13.5" customHeight="1" thickBot="1" x14ac:dyDescent="0.3">
      <c r="A22" s="26"/>
      <c r="B22" s="27"/>
      <c r="C22" s="28"/>
      <c r="D22" s="28"/>
      <c r="E22" s="97"/>
      <c r="F22" s="28"/>
      <c r="G22" s="28"/>
      <c r="H22" s="135"/>
    </row>
    <row r="23" spans="1:8" ht="14.25" customHeight="1" thickBot="1" x14ac:dyDescent="0.3">
      <c r="A23" s="40" t="s">
        <v>25</v>
      </c>
      <c r="B23" s="41"/>
      <c r="C23" s="42"/>
      <c r="D23" s="42"/>
      <c r="E23" s="101"/>
      <c r="F23" s="42"/>
      <c r="G23" s="42"/>
      <c r="H23" s="136"/>
    </row>
    <row r="24" spans="1:8" ht="16.350000000000001" customHeight="1" thickBot="1" x14ac:dyDescent="0.3">
      <c r="A24" s="43" t="s">
        <v>26</v>
      </c>
      <c r="B24" s="44"/>
      <c r="C24" s="45">
        <f>SUM(C26:C42)</f>
        <v>7639</v>
      </c>
      <c r="D24" s="45">
        <f>SUM(D27:D42)</f>
        <v>10</v>
      </c>
      <c r="E24" s="102">
        <f>SUM(E27:E42)</f>
        <v>0</v>
      </c>
      <c r="F24" s="45">
        <f>SUM(F26:F42)</f>
        <v>7649</v>
      </c>
      <c r="G24" s="45">
        <f>SUM(G26:G42)</f>
        <v>-50</v>
      </c>
      <c r="H24" s="137">
        <f>SUM(F24:G24)</f>
        <v>7599</v>
      </c>
    </row>
    <row r="25" spans="1:8" x14ac:dyDescent="0.25">
      <c r="A25" s="46" t="s">
        <v>27</v>
      </c>
      <c r="B25" s="15"/>
      <c r="C25" s="16"/>
      <c r="D25" s="16"/>
      <c r="E25" s="93"/>
      <c r="F25" s="16"/>
      <c r="G25" s="16"/>
      <c r="H25" s="127"/>
    </row>
    <row r="26" spans="1:8" ht="25.5" x14ac:dyDescent="0.25">
      <c r="A26" s="46" t="s">
        <v>336</v>
      </c>
      <c r="B26" s="51" t="s">
        <v>100</v>
      </c>
      <c r="C26" s="142">
        <v>0</v>
      </c>
      <c r="D26" s="142"/>
      <c r="E26" s="143"/>
      <c r="F26" s="142">
        <v>0</v>
      </c>
      <c r="G26" s="142">
        <f>24</f>
        <v>24</v>
      </c>
      <c r="H26" s="127">
        <f>SUM(F26:G26)</f>
        <v>24</v>
      </c>
    </row>
    <row r="27" spans="1:8" ht="30.75" customHeight="1" x14ac:dyDescent="0.25">
      <c r="A27" s="46" t="s">
        <v>295</v>
      </c>
      <c r="B27" s="175" t="s">
        <v>296</v>
      </c>
      <c r="C27" s="142">
        <v>0</v>
      </c>
      <c r="D27" s="142">
        <f>40</f>
        <v>40</v>
      </c>
      <c r="E27" s="143">
        <v>0</v>
      </c>
      <c r="F27" s="142">
        <f>SUM(C27:E27)</f>
        <v>40</v>
      </c>
      <c r="G27" s="144">
        <v>0</v>
      </c>
      <c r="H27" s="128">
        <f t="shared" si="0"/>
        <v>40</v>
      </c>
    </row>
    <row r="28" spans="1:8" ht="30" x14ac:dyDescent="0.25">
      <c r="A28" s="46" t="s">
        <v>320</v>
      </c>
      <c r="B28" s="175" t="s">
        <v>114</v>
      </c>
      <c r="C28" s="142">
        <v>0</v>
      </c>
      <c r="D28" s="142">
        <f>50</f>
        <v>50</v>
      </c>
      <c r="E28" s="143">
        <v>0</v>
      </c>
      <c r="F28" s="142">
        <f>SUM(C28:E28)</f>
        <v>50</v>
      </c>
      <c r="G28" s="144">
        <v>0</v>
      </c>
      <c r="H28" s="128">
        <f t="shared" ref="H28:H34" si="4">SUM(F28:G28)</f>
        <v>50</v>
      </c>
    </row>
    <row r="29" spans="1:8" ht="27.75" customHeight="1" x14ac:dyDescent="0.25">
      <c r="A29" s="46" t="s">
        <v>321</v>
      </c>
      <c r="B29" s="175" t="s">
        <v>118</v>
      </c>
      <c r="C29" s="142">
        <v>0</v>
      </c>
      <c r="D29" s="142"/>
      <c r="E29" s="143"/>
      <c r="F29" s="142">
        <v>0</v>
      </c>
      <c r="G29" s="144">
        <f>15</f>
        <v>15</v>
      </c>
      <c r="H29" s="128">
        <f t="shared" si="4"/>
        <v>15</v>
      </c>
    </row>
    <row r="30" spans="1:8" ht="15" customHeight="1" x14ac:dyDescent="0.25">
      <c r="A30" s="52" t="s">
        <v>268</v>
      </c>
      <c r="B30" s="53" t="s">
        <v>269</v>
      </c>
      <c r="C30" s="144">
        <v>0</v>
      </c>
      <c r="D30" s="144">
        <f>28</f>
        <v>28</v>
      </c>
      <c r="E30" s="145">
        <v>0</v>
      </c>
      <c r="F30" s="144">
        <f>SUM(C30:E30)</f>
        <v>28</v>
      </c>
      <c r="G30" s="144">
        <v>0</v>
      </c>
      <c r="H30" s="128">
        <f t="shared" si="4"/>
        <v>28</v>
      </c>
    </row>
    <row r="31" spans="1:8" ht="24.75" customHeight="1" x14ac:dyDescent="0.25">
      <c r="A31" s="52" t="s">
        <v>316</v>
      </c>
      <c r="B31" s="53" t="s">
        <v>45</v>
      </c>
      <c r="C31" s="144">
        <v>0</v>
      </c>
      <c r="D31" s="144"/>
      <c r="E31" s="145"/>
      <c r="F31" s="144">
        <v>0</v>
      </c>
      <c r="G31" s="144">
        <f>30</f>
        <v>30</v>
      </c>
      <c r="H31" s="128">
        <f t="shared" si="4"/>
        <v>30</v>
      </c>
    </row>
    <row r="32" spans="1:8" ht="17.25" customHeight="1" x14ac:dyDescent="0.25">
      <c r="A32" s="52" t="s">
        <v>319</v>
      </c>
      <c r="B32" s="53" t="s">
        <v>121</v>
      </c>
      <c r="C32" s="144">
        <v>0</v>
      </c>
      <c r="D32" s="144"/>
      <c r="E32" s="145"/>
      <c r="F32" s="144">
        <v>0</v>
      </c>
      <c r="G32" s="144">
        <f>75</f>
        <v>75</v>
      </c>
      <c r="H32" s="128">
        <f t="shared" si="4"/>
        <v>75</v>
      </c>
    </row>
    <row r="33" spans="1:8" ht="15.75" customHeight="1" x14ac:dyDescent="0.25">
      <c r="A33" s="52" t="s">
        <v>317</v>
      </c>
      <c r="B33" s="53" t="s">
        <v>114</v>
      </c>
      <c r="C33" s="144">
        <v>0</v>
      </c>
      <c r="D33" s="144"/>
      <c r="E33" s="145"/>
      <c r="F33" s="144">
        <v>0</v>
      </c>
      <c r="G33" s="144">
        <f>100</f>
        <v>100</v>
      </c>
      <c r="H33" s="128">
        <f t="shared" si="4"/>
        <v>100</v>
      </c>
    </row>
    <row r="34" spans="1:8" ht="15" customHeight="1" x14ac:dyDescent="0.25">
      <c r="A34" s="52" t="s">
        <v>313</v>
      </c>
      <c r="B34" s="53" t="s">
        <v>114</v>
      </c>
      <c r="C34" s="144">
        <v>0</v>
      </c>
      <c r="D34" s="144"/>
      <c r="E34" s="145"/>
      <c r="F34" s="144">
        <v>0</v>
      </c>
      <c r="G34" s="144">
        <f>50</f>
        <v>50</v>
      </c>
      <c r="H34" s="128">
        <f t="shared" si="4"/>
        <v>50</v>
      </c>
    </row>
    <row r="35" spans="1:8" ht="28.5" customHeight="1" x14ac:dyDescent="0.25">
      <c r="A35" s="52" t="s">
        <v>297</v>
      </c>
      <c r="B35" s="53" t="s">
        <v>298</v>
      </c>
      <c r="C35" s="144">
        <v>0</v>
      </c>
      <c r="D35" s="144">
        <f>20</f>
        <v>20</v>
      </c>
      <c r="E35" s="145">
        <v>0</v>
      </c>
      <c r="F35" s="144">
        <f>SUM(C35:E35)</f>
        <v>20</v>
      </c>
      <c r="G35" s="144">
        <v>0</v>
      </c>
      <c r="H35" s="128">
        <f t="shared" ref="H35:H40" si="5">SUM(F35:G35)</f>
        <v>20</v>
      </c>
    </row>
    <row r="36" spans="1:8" ht="28.5" customHeight="1" x14ac:dyDescent="0.25">
      <c r="A36" s="52" t="s">
        <v>335</v>
      </c>
      <c r="B36" s="53" t="s">
        <v>264</v>
      </c>
      <c r="C36" s="144">
        <v>0</v>
      </c>
      <c r="D36" s="144"/>
      <c r="E36" s="145"/>
      <c r="F36" s="144">
        <v>0</v>
      </c>
      <c r="G36" s="144">
        <f>18</f>
        <v>18</v>
      </c>
      <c r="H36" s="128">
        <f t="shared" si="5"/>
        <v>18</v>
      </c>
    </row>
    <row r="37" spans="1:8" ht="42" customHeight="1" x14ac:dyDescent="0.25">
      <c r="A37" s="52" t="s">
        <v>271</v>
      </c>
      <c r="B37" s="53" t="s">
        <v>264</v>
      </c>
      <c r="C37" s="144">
        <v>0</v>
      </c>
      <c r="D37" s="144">
        <f>50</f>
        <v>50</v>
      </c>
      <c r="E37" s="145">
        <v>0</v>
      </c>
      <c r="F37" s="144">
        <f t="shared" ref="F37:F41" si="6">SUM(C37:E37)</f>
        <v>50</v>
      </c>
      <c r="G37" s="144">
        <v>0</v>
      </c>
      <c r="H37" s="128">
        <f t="shared" si="5"/>
        <v>50</v>
      </c>
    </row>
    <row r="38" spans="1:8" ht="32.25" customHeight="1" x14ac:dyDescent="0.25">
      <c r="A38" s="52" t="s">
        <v>327</v>
      </c>
      <c r="B38" s="53" t="s">
        <v>118</v>
      </c>
      <c r="C38" s="144">
        <v>0</v>
      </c>
      <c r="D38" s="144"/>
      <c r="E38" s="145"/>
      <c r="F38" s="146">
        <v>0</v>
      </c>
      <c r="G38" s="144">
        <f>150</f>
        <v>150</v>
      </c>
      <c r="H38" s="128">
        <f t="shared" si="5"/>
        <v>150</v>
      </c>
    </row>
    <row r="39" spans="1:8" x14ac:dyDescent="0.25">
      <c r="A39" s="52" t="s">
        <v>328</v>
      </c>
      <c r="B39" s="53" t="s">
        <v>100</v>
      </c>
      <c r="C39" s="144">
        <v>0</v>
      </c>
      <c r="D39" s="144"/>
      <c r="E39" s="145"/>
      <c r="F39" s="144">
        <v>0</v>
      </c>
      <c r="G39" s="144">
        <f>50</f>
        <v>50</v>
      </c>
      <c r="H39" s="128">
        <f t="shared" si="5"/>
        <v>50</v>
      </c>
    </row>
    <row r="40" spans="1:8" ht="25.5" x14ac:dyDescent="0.25">
      <c r="A40" s="52" t="s">
        <v>337</v>
      </c>
      <c r="B40" s="53" t="s">
        <v>264</v>
      </c>
      <c r="C40" s="144">
        <v>0</v>
      </c>
      <c r="D40" s="144"/>
      <c r="E40" s="145"/>
      <c r="F40" s="144">
        <v>0</v>
      </c>
      <c r="G40" s="144">
        <f>50</f>
        <v>50</v>
      </c>
      <c r="H40" s="128">
        <f t="shared" si="5"/>
        <v>50</v>
      </c>
    </row>
    <row r="41" spans="1:8" ht="16.5" customHeight="1" x14ac:dyDescent="0.25">
      <c r="A41" s="46" t="s">
        <v>272</v>
      </c>
      <c r="B41" s="107" t="s">
        <v>121</v>
      </c>
      <c r="C41" s="142">
        <v>0</v>
      </c>
      <c r="D41" s="142">
        <v>0</v>
      </c>
      <c r="E41" s="142">
        <v>80</v>
      </c>
      <c r="F41" s="148">
        <f t="shared" si="6"/>
        <v>80</v>
      </c>
      <c r="G41" s="142">
        <v>0</v>
      </c>
      <c r="H41" s="127">
        <f t="shared" si="0"/>
        <v>80</v>
      </c>
    </row>
    <row r="42" spans="1:8" ht="17.25" customHeight="1" thickBot="1" x14ac:dyDescent="0.3">
      <c r="A42" s="47" t="s">
        <v>28</v>
      </c>
      <c r="B42" s="48"/>
      <c r="C42" s="146">
        <v>7639</v>
      </c>
      <c r="D42" s="146">
        <f>-50-28-100</f>
        <v>-178</v>
      </c>
      <c r="E42" s="147">
        <v>-80</v>
      </c>
      <c r="F42" s="146">
        <f>SUM(C42:E42)</f>
        <v>7381</v>
      </c>
      <c r="G42" s="146">
        <f>-50-130-90-200-92-50</f>
        <v>-612</v>
      </c>
      <c r="H42" s="129">
        <f t="shared" si="0"/>
        <v>6769</v>
      </c>
    </row>
    <row r="43" spans="1:8" ht="16.5" customHeight="1" thickBot="1" x14ac:dyDescent="0.3">
      <c r="A43" s="49" t="s">
        <v>29</v>
      </c>
      <c r="B43" s="50"/>
      <c r="C43" s="45">
        <f>SUM(C45:C47)</f>
        <v>324123</v>
      </c>
      <c r="D43" s="45">
        <f>SUM(D45:D47)</f>
        <v>-50</v>
      </c>
      <c r="E43" s="102">
        <f>SUM(E45:E47)</f>
        <v>0</v>
      </c>
      <c r="F43" s="45">
        <f>SUM(F45:F47)</f>
        <v>324073</v>
      </c>
      <c r="G43" s="45">
        <f>SUM(G45:G47)</f>
        <v>1848.59</v>
      </c>
      <c r="H43" s="137">
        <f t="shared" si="0"/>
        <v>325921.59000000003</v>
      </c>
    </row>
    <row r="44" spans="1:8" ht="14.25" customHeight="1" x14ac:dyDescent="0.25">
      <c r="A44" s="46" t="s">
        <v>27</v>
      </c>
      <c r="B44" s="51"/>
      <c r="C44" s="16"/>
      <c r="D44" s="16"/>
      <c r="E44" s="93"/>
      <c r="F44" s="16"/>
      <c r="G44" s="16"/>
      <c r="H44" s="127"/>
    </row>
    <row r="45" spans="1:8" ht="15" customHeight="1" x14ac:dyDescent="0.25">
      <c r="A45" s="52" t="s">
        <v>30</v>
      </c>
      <c r="B45" s="53"/>
      <c r="C45" s="19">
        <v>700</v>
      </c>
      <c r="D45" s="19">
        <v>0</v>
      </c>
      <c r="E45" s="94">
        <v>0</v>
      </c>
      <c r="F45" s="19">
        <f>SUM(C45:E45)</f>
        <v>700</v>
      </c>
      <c r="G45" s="19">
        <f>4.59</f>
        <v>4.59</v>
      </c>
      <c r="H45" s="128">
        <f t="shared" si="0"/>
        <v>704.59</v>
      </c>
    </row>
    <row r="46" spans="1:8" ht="15" customHeight="1" x14ac:dyDescent="0.25">
      <c r="A46" s="52" t="s">
        <v>31</v>
      </c>
      <c r="B46" s="53"/>
      <c r="C46" s="19">
        <v>12655</v>
      </c>
      <c r="D46" s="19">
        <v>0</v>
      </c>
      <c r="E46" s="94">
        <v>0</v>
      </c>
      <c r="F46" s="19">
        <f t="shared" ref="F46:F47" si="7">SUM(C46:E46)</f>
        <v>12655</v>
      </c>
      <c r="G46" s="19">
        <v>0</v>
      </c>
      <c r="H46" s="128">
        <f t="shared" si="0"/>
        <v>12655</v>
      </c>
    </row>
    <row r="47" spans="1:8" ht="15" customHeight="1" thickBot="1" x14ac:dyDescent="0.3">
      <c r="A47" s="47" t="s">
        <v>32</v>
      </c>
      <c r="B47" s="48"/>
      <c r="C47" s="22">
        <v>310768</v>
      </c>
      <c r="D47" s="22">
        <f>-50</f>
        <v>-50</v>
      </c>
      <c r="E47" s="95">
        <v>0</v>
      </c>
      <c r="F47" s="22">
        <f t="shared" si="7"/>
        <v>310718</v>
      </c>
      <c r="G47" s="22">
        <f>1844</f>
        <v>1844</v>
      </c>
      <c r="H47" s="129">
        <f t="shared" si="0"/>
        <v>312562</v>
      </c>
    </row>
    <row r="48" spans="1:8" ht="14.25" customHeight="1" thickBot="1" x14ac:dyDescent="0.3">
      <c r="A48" s="43" t="s">
        <v>33</v>
      </c>
      <c r="B48" s="54"/>
      <c r="C48" s="45">
        <f t="shared" ref="C48" si="8">SUM(C50:C55)</f>
        <v>49692.41</v>
      </c>
      <c r="D48" s="45">
        <f>SUM(D50:D55)</f>
        <v>77.22999999999999</v>
      </c>
      <c r="E48" s="102">
        <f>SUM(E50:E55)</f>
        <v>6377.25</v>
      </c>
      <c r="F48" s="45">
        <f>SUM(F50:F55)</f>
        <v>56146.89</v>
      </c>
      <c r="G48" s="45">
        <f>SUM(G50:G55)</f>
        <v>0</v>
      </c>
      <c r="H48" s="137">
        <f t="shared" si="0"/>
        <v>56146.89</v>
      </c>
    </row>
    <row r="49" spans="1:8" ht="12.75" customHeight="1" x14ac:dyDescent="0.25">
      <c r="A49" s="46" t="s">
        <v>27</v>
      </c>
      <c r="B49" s="51"/>
      <c r="C49" s="16"/>
      <c r="D49" s="16"/>
      <c r="E49" s="93"/>
      <c r="F49" s="16"/>
      <c r="G49" s="16"/>
      <c r="H49" s="127"/>
    </row>
    <row r="50" spans="1:8" ht="17.25" customHeight="1" x14ac:dyDescent="0.25">
      <c r="A50" s="34" t="s">
        <v>34</v>
      </c>
      <c r="B50" s="55"/>
      <c r="C50" s="19">
        <v>0</v>
      </c>
      <c r="D50" s="19">
        <f>20</f>
        <v>20</v>
      </c>
      <c r="E50" s="94">
        <v>0</v>
      </c>
      <c r="F50" s="19">
        <f>SUM(C50:E50)</f>
        <v>20</v>
      </c>
      <c r="G50" s="19">
        <v>0</v>
      </c>
      <c r="H50" s="128">
        <f t="shared" si="0"/>
        <v>20</v>
      </c>
    </row>
    <row r="51" spans="1:8" ht="15" customHeight="1" x14ac:dyDescent="0.25">
      <c r="A51" s="52" t="s">
        <v>35</v>
      </c>
      <c r="B51" s="53" t="s">
        <v>36</v>
      </c>
      <c r="C51" s="19">
        <v>20000</v>
      </c>
      <c r="D51" s="19">
        <v>0</v>
      </c>
      <c r="E51" s="94">
        <v>0</v>
      </c>
      <c r="F51" s="19">
        <f t="shared" ref="F51:F55" si="9">SUM(C51:E51)</f>
        <v>20000</v>
      </c>
      <c r="G51" s="19">
        <v>0</v>
      </c>
      <c r="H51" s="128">
        <f t="shared" si="0"/>
        <v>20000</v>
      </c>
    </row>
    <row r="52" spans="1:8" ht="15" customHeight="1" x14ac:dyDescent="0.25">
      <c r="A52" s="52" t="s">
        <v>37</v>
      </c>
      <c r="B52" s="53"/>
      <c r="C52" s="19">
        <v>3215.41</v>
      </c>
      <c r="D52" s="19">
        <v>0</v>
      </c>
      <c r="E52" s="94">
        <v>0</v>
      </c>
      <c r="F52" s="19">
        <f t="shared" si="9"/>
        <v>3215.41</v>
      </c>
      <c r="G52" s="19">
        <v>0</v>
      </c>
      <c r="H52" s="128">
        <f t="shared" si="0"/>
        <v>3215.41</v>
      </c>
    </row>
    <row r="53" spans="1:8" ht="15" customHeight="1" x14ac:dyDescent="0.25">
      <c r="A53" s="52" t="s">
        <v>38</v>
      </c>
      <c r="B53" s="53"/>
      <c r="C53" s="19">
        <v>200</v>
      </c>
      <c r="D53" s="19">
        <v>0</v>
      </c>
      <c r="E53" s="94">
        <v>0</v>
      </c>
      <c r="F53" s="19">
        <f t="shared" si="9"/>
        <v>200</v>
      </c>
      <c r="G53" s="19">
        <v>0</v>
      </c>
      <c r="H53" s="128">
        <f t="shared" si="0"/>
        <v>200</v>
      </c>
    </row>
    <row r="54" spans="1:8" ht="15" customHeight="1" x14ac:dyDescent="0.25">
      <c r="A54" s="52" t="s">
        <v>39</v>
      </c>
      <c r="B54" s="53"/>
      <c r="C54" s="19">
        <v>2000</v>
      </c>
      <c r="D54" s="19">
        <v>0</v>
      </c>
      <c r="E54" s="94">
        <v>0</v>
      </c>
      <c r="F54" s="19">
        <f t="shared" si="9"/>
        <v>2000</v>
      </c>
      <c r="G54" s="19">
        <v>0</v>
      </c>
      <c r="H54" s="128">
        <f t="shared" si="0"/>
        <v>2000</v>
      </c>
    </row>
    <row r="55" spans="1:8" ht="15.75" customHeight="1" thickBot="1" x14ac:dyDescent="0.3">
      <c r="A55" s="47" t="s">
        <v>40</v>
      </c>
      <c r="B55" s="48"/>
      <c r="C55" s="22">
        <v>24277</v>
      </c>
      <c r="D55" s="22">
        <f>57.23</f>
        <v>57.23</v>
      </c>
      <c r="E55" s="95">
        <v>6377.25</v>
      </c>
      <c r="F55" s="22">
        <f t="shared" si="9"/>
        <v>30711.48</v>
      </c>
      <c r="G55" s="22">
        <v>0</v>
      </c>
      <c r="H55" s="129">
        <f t="shared" si="0"/>
        <v>30711.48</v>
      </c>
    </row>
    <row r="56" spans="1:8" ht="14.25" customHeight="1" thickBot="1" x14ac:dyDescent="0.3">
      <c r="A56" s="43" t="s">
        <v>41</v>
      </c>
      <c r="B56" s="50"/>
      <c r="C56" s="45">
        <f>SUM(C58:C59)</f>
        <v>154593.59</v>
      </c>
      <c r="D56" s="45">
        <f>SUM(D58:D59)</f>
        <v>-7815.75</v>
      </c>
      <c r="E56" s="102">
        <f>SUM(E58:E59)</f>
        <v>23563.32</v>
      </c>
      <c r="F56" s="45">
        <f>SUM(F58:F59)</f>
        <v>170341.16</v>
      </c>
      <c r="G56" s="45">
        <f>SUM(G58:G59)</f>
        <v>-1616.2199999999998</v>
      </c>
      <c r="H56" s="137">
        <f>SUM(F56:G56)</f>
        <v>168724.94</v>
      </c>
    </row>
    <row r="57" spans="1:8" ht="12.75" customHeight="1" x14ac:dyDescent="0.25">
      <c r="A57" s="46" t="s">
        <v>27</v>
      </c>
      <c r="B57" s="51"/>
      <c r="C57" s="16"/>
      <c r="D57" s="16"/>
      <c r="E57" s="93"/>
      <c r="F57" s="16"/>
      <c r="G57" s="16"/>
      <c r="H57" s="127"/>
    </row>
    <row r="58" spans="1:8" ht="15" customHeight="1" x14ac:dyDescent="0.25">
      <c r="A58" s="52" t="s">
        <v>30</v>
      </c>
      <c r="B58" s="53"/>
      <c r="C58" s="19">
        <v>61129.09</v>
      </c>
      <c r="D58" s="19">
        <f>-7964.48+419.4-2000+421.2-706.68</f>
        <v>-9830.56</v>
      </c>
      <c r="E58" s="94">
        <v>23206.32</v>
      </c>
      <c r="F58" s="19">
        <f>SUM(C58:E58)</f>
        <v>74504.850000000006</v>
      </c>
      <c r="G58" s="19">
        <f>-611.23-44.9-1052.1-194.53-770.3</f>
        <v>-2673.06</v>
      </c>
      <c r="H58" s="128">
        <f t="shared" si="0"/>
        <v>71831.790000000008</v>
      </c>
    </row>
    <row r="59" spans="1:8" ht="17.25" customHeight="1" thickBot="1" x14ac:dyDescent="0.3">
      <c r="A59" s="47" t="s">
        <v>42</v>
      </c>
      <c r="B59" s="48"/>
      <c r="C59" s="22">
        <v>93464.5</v>
      </c>
      <c r="D59" s="22">
        <f>27.59+1718.22+269</f>
        <v>2014.81</v>
      </c>
      <c r="E59" s="22">
        <v>357</v>
      </c>
      <c r="F59" s="22">
        <f>SUM(C59:E59)</f>
        <v>95836.31</v>
      </c>
      <c r="G59" s="22">
        <f>988.6+181.54-113.3</f>
        <v>1056.8400000000001</v>
      </c>
      <c r="H59" s="129">
        <f t="shared" si="0"/>
        <v>96893.15</v>
      </c>
    </row>
    <row r="60" spans="1:8" ht="15.75" customHeight="1" thickBot="1" x14ac:dyDescent="0.3">
      <c r="A60" s="43" t="s">
        <v>43</v>
      </c>
      <c r="B60" s="54"/>
      <c r="C60" s="45">
        <f t="shared" ref="C60" si="10">SUM(C62:C64)</f>
        <v>2282.77</v>
      </c>
      <c r="D60" s="45">
        <f>SUM(D62:D64)</f>
        <v>0</v>
      </c>
      <c r="E60" s="102">
        <f>SUM(E62:E64)</f>
        <v>0</v>
      </c>
      <c r="F60" s="45">
        <f>SUM(F62:F64)</f>
        <v>2282.77</v>
      </c>
      <c r="G60" s="81">
        <f>SUM(G62:G64)</f>
        <v>0</v>
      </c>
      <c r="H60" s="137">
        <f>SUM(F60:G60)</f>
        <v>2282.77</v>
      </c>
    </row>
    <row r="61" spans="1:8" ht="15" customHeight="1" x14ac:dyDescent="0.25">
      <c r="A61" s="56" t="s">
        <v>27</v>
      </c>
      <c r="B61" s="51"/>
      <c r="C61" s="16"/>
      <c r="D61" s="16"/>
      <c r="E61" s="93"/>
      <c r="F61" s="16"/>
      <c r="G61" s="110"/>
      <c r="H61" s="131"/>
    </row>
    <row r="62" spans="1:8" ht="17.25" customHeight="1" x14ac:dyDescent="0.25">
      <c r="A62" s="17" t="s">
        <v>44</v>
      </c>
      <c r="B62" s="57" t="s">
        <v>45</v>
      </c>
      <c r="C62" s="19">
        <v>15</v>
      </c>
      <c r="D62" s="19">
        <v>0</v>
      </c>
      <c r="E62" s="94">
        <v>0</v>
      </c>
      <c r="F62" s="19">
        <f>SUM(C62:E62)</f>
        <v>15</v>
      </c>
      <c r="G62" s="19">
        <v>0</v>
      </c>
      <c r="H62" s="128">
        <f t="shared" si="0"/>
        <v>15</v>
      </c>
    </row>
    <row r="63" spans="1:8" ht="15" customHeight="1" x14ac:dyDescent="0.25">
      <c r="A63" s="58" t="s">
        <v>30</v>
      </c>
      <c r="B63" s="53"/>
      <c r="C63" s="19">
        <v>64.12</v>
      </c>
      <c r="D63" s="19">
        <v>0</v>
      </c>
      <c r="E63" s="94">
        <v>0</v>
      </c>
      <c r="F63" s="19">
        <f t="shared" ref="F63:F64" si="11">SUM(C63:E63)</f>
        <v>64.12</v>
      </c>
      <c r="G63" s="19">
        <v>0</v>
      </c>
      <c r="H63" s="128">
        <f t="shared" si="0"/>
        <v>64.12</v>
      </c>
    </row>
    <row r="64" spans="1:8" ht="17.25" customHeight="1" thickBot="1" x14ac:dyDescent="0.3">
      <c r="A64" s="59" t="s">
        <v>46</v>
      </c>
      <c r="B64" s="48"/>
      <c r="C64" s="22">
        <v>2203.65</v>
      </c>
      <c r="D64" s="22">
        <v>0</v>
      </c>
      <c r="E64" s="95">
        <v>0</v>
      </c>
      <c r="F64" s="22">
        <f t="shared" si="11"/>
        <v>2203.65</v>
      </c>
      <c r="G64" s="22">
        <v>0</v>
      </c>
      <c r="H64" s="129">
        <f t="shared" si="0"/>
        <v>2203.65</v>
      </c>
    </row>
    <row r="65" spans="1:8" ht="14.25" customHeight="1" thickBot="1" x14ac:dyDescent="0.3">
      <c r="A65" s="60" t="s">
        <v>47</v>
      </c>
      <c r="B65" s="54"/>
      <c r="C65" s="45">
        <f t="shared" ref="C65:H65" si="12">SUM(C67:C154)</f>
        <v>314663.33999999997</v>
      </c>
      <c r="D65" s="45">
        <f t="shared" si="12"/>
        <v>591.24000000000024</v>
      </c>
      <c r="E65" s="102">
        <f t="shared" si="12"/>
        <v>3748.33</v>
      </c>
      <c r="F65" s="45">
        <f t="shared" si="12"/>
        <v>319002.91000000003</v>
      </c>
      <c r="G65" s="45">
        <f t="shared" si="12"/>
        <v>2421</v>
      </c>
      <c r="H65" s="137">
        <f t="shared" si="12"/>
        <v>321423.91000000003</v>
      </c>
    </row>
    <row r="66" spans="1:8" ht="12.75" customHeight="1" x14ac:dyDescent="0.25">
      <c r="A66" s="61" t="s">
        <v>27</v>
      </c>
      <c r="B66" s="51"/>
      <c r="C66" s="16"/>
      <c r="D66" s="16"/>
      <c r="E66" s="93"/>
      <c r="F66" s="16"/>
      <c r="G66" s="16"/>
      <c r="H66" s="127"/>
    </row>
    <row r="67" spans="1:8" ht="15" customHeight="1" x14ac:dyDescent="0.25">
      <c r="A67" s="58" t="s">
        <v>30</v>
      </c>
      <c r="B67" s="57"/>
      <c r="C67" s="144">
        <v>5300</v>
      </c>
      <c r="D67" s="144">
        <f>-140</f>
        <v>-140</v>
      </c>
      <c r="E67" s="145">
        <v>1850</v>
      </c>
      <c r="F67" s="144">
        <f>SUM(C67:E67)</f>
        <v>7010</v>
      </c>
      <c r="G67" s="144">
        <f>100+5+360</f>
        <v>465</v>
      </c>
      <c r="H67" s="128">
        <f>SUM(F67:G67)</f>
        <v>7475</v>
      </c>
    </row>
    <row r="68" spans="1:8" ht="25.5" customHeight="1" x14ac:dyDescent="0.25">
      <c r="A68" s="17" t="s">
        <v>314</v>
      </c>
      <c r="B68" s="57" t="s">
        <v>315</v>
      </c>
      <c r="C68" s="144">
        <v>0</v>
      </c>
      <c r="D68" s="144"/>
      <c r="E68" s="145"/>
      <c r="F68" s="144">
        <v>0</v>
      </c>
      <c r="G68" s="144">
        <f>100</f>
        <v>100</v>
      </c>
      <c r="H68" s="128">
        <f>SUM(F68:G68)</f>
        <v>100</v>
      </c>
    </row>
    <row r="69" spans="1:8" ht="17.25" customHeight="1" x14ac:dyDescent="0.25">
      <c r="A69" s="17" t="s">
        <v>48</v>
      </c>
      <c r="B69" s="57" t="s">
        <v>49</v>
      </c>
      <c r="C69" s="144">
        <v>7400</v>
      </c>
      <c r="D69" s="144">
        <v>0</v>
      </c>
      <c r="E69" s="152">
        <v>0</v>
      </c>
      <c r="F69" s="144">
        <f t="shared" ref="F69:F149" si="13">SUM(C69:E69)</f>
        <v>7400</v>
      </c>
      <c r="G69" s="144">
        <v>0</v>
      </c>
      <c r="H69" s="128">
        <f t="shared" si="0"/>
        <v>7400</v>
      </c>
    </row>
    <row r="70" spans="1:8" ht="15" customHeight="1" x14ac:dyDescent="0.25">
      <c r="A70" s="17" t="s">
        <v>50</v>
      </c>
      <c r="B70" s="57" t="s">
        <v>51</v>
      </c>
      <c r="C70" s="144">
        <v>3500</v>
      </c>
      <c r="D70" s="144">
        <v>0</v>
      </c>
      <c r="E70" s="152">
        <v>-320</v>
      </c>
      <c r="F70" s="144">
        <f t="shared" si="13"/>
        <v>3180</v>
      </c>
      <c r="G70" s="144">
        <v>0</v>
      </c>
      <c r="H70" s="128">
        <f t="shared" si="0"/>
        <v>3180</v>
      </c>
    </row>
    <row r="71" spans="1:8" ht="25.5" customHeight="1" x14ac:dyDescent="0.25">
      <c r="A71" s="17" t="s">
        <v>52</v>
      </c>
      <c r="B71" s="57" t="s">
        <v>53</v>
      </c>
      <c r="C71" s="144">
        <v>900</v>
      </c>
      <c r="D71" s="144">
        <v>0</v>
      </c>
      <c r="E71" s="145">
        <v>0</v>
      </c>
      <c r="F71" s="144">
        <f t="shared" si="13"/>
        <v>900</v>
      </c>
      <c r="G71" s="144">
        <v>0</v>
      </c>
      <c r="H71" s="128">
        <f t="shared" si="0"/>
        <v>900</v>
      </c>
    </row>
    <row r="72" spans="1:8" ht="15" customHeight="1" x14ac:dyDescent="0.25">
      <c r="A72" s="58" t="s">
        <v>54</v>
      </c>
      <c r="B72" s="53" t="s">
        <v>55</v>
      </c>
      <c r="C72" s="150">
        <v>42922</v>
      </c>
      <c r="D72" s="150">
        <v>0</v>
      </c>
      <c r="E72" s="145">
        <v>0</v>
      </c>
      <c r="F72" s="144">
        <f t="shared" si="13"/>
        <v>42922</v>
      </c>
      <c r="G72" s="144">
        <v>0</v>
      </c>
      <c r="H72" s="128">
        <f t="shared" si="0"/>
        <v>42922</v>
      </c>
    </row>
    <row r="73" spans="1:8" ht="15" customHeight="1" x14ac:dyDescent="0.25">
      <c r="A73" s="58" t="s">
        <v>56</v>
      </c>
      <c r="B73" s="57" t="s">
        <v>36</v>
      </c>
      <c r="C73" s="150">
        <v>3692</v>
      </c>
      <c r="D73" s="150">
        <v>0</v>
      </c>
      <c r="E73" s="145">
        <v>95</v>
      </c>
      <c r="F73" s="144">
        <f t="shared" si="13"/>
        <v>3787</v>
      </c>
      <c r="G73" s="144">
        <v>0</v>
      </c>
      <c r="H73" s="128">
        <f t="shared" si="0"/>
        <v>3787</v>
      </c>
    </row>
    <row r="74" spans="1:8" ht="15" customHeight="1" x14ac:dyDescent="0.25">
      <c r="A74" s="58" t="s">
        <v>306</v>
      </c>
      <c r="B74" s="57" t="s">
        <v>300</v>
      </c>
      <c r="C74" s="150">
        <v>0</v>
      </c>
      <c r="D74" s="150">
        <f>38.94</f>
        <v>38.94</v>
      </c>
      <c r="E74" s="145">
        <v>0</v>
      </c>
      <c r="F74" s="144">
        <f>SUM(C74:E74)</f>
        <v>38.94</v>
      </c>
      <c r="G74" s="144">
        <v>0</v>
      </c>
      <c r="H74" s="128">
        <f t="shared" si="0"/>
        <v>38.94</v>
      </c>
    </row>
    <row r="75" spans="1:8" ht="15" customHeight="1" x14ac:dyDescent="0.25">
      <c r="A75" s="58" t="s">
        <v>307</v>
      </c>
      <c r="B75" s="57" t="s">
        <v>300</v>
      </c>
      <c r="C75" s="33">
        <v>0</v>
      </c>
      <c r="D75" s="33">
        <f>4.33</f>
        <v>4.33</v>
      </c>
      <c r="E75" s="94">
        <v>0</v>
      </c>
      <c r="F75" s="19">
        <f>SUM(C75:E75)</f>
        <v>4.33</v>
      </c>
      <c r="G75" s="19">
        <v>0</v>
      </c>
      <c r="H75" s="128">
        <f t="shared" si="0"/>
        <v>4.33</v>
      </c>
    </row>
    <row r="76" spans="1:8" ht="15" customHeight="1" x14ac:dyDescent="0.25">
      <c r="A76" s="58" t="s">
        <v>57</v>
      </c>
      <c r="B76" s="57" t="s">
        <v>36</v>
      </c>
      <c r="C76" s="33">
        <v>4544</v>
      </c>
      <c r="D76" s="33">
        <v>0</v>
      </c>
      <c r="E76" s="94">
        <v>110</v>
      </c>
      <c r="F76" s="19">
        <f t="shared" si="13"/>
        <v>4654</v>
      </c>
      <c r="G76" s="19">
        <v>0</v>
      </c>
      <c r="H76" s="128">
        <f t="shared" si="0"/>
        <v>4654</v>
      </c>
    </row>
    <row r="77" spans="1:8" ht="15" customHeight="1" x14ac:dyDescent="0.25">
      <c r="A77" s="58" t="s">
        <v>302</v>
      </c>
      <c r="B77" s="57" t="s">
        <v>300</v>
      </c>
      <c r="C77" s="33">
        <v>0</v>
      </c>
      <c r="D77" s="33">
        <f>63.04</f>
        <v>63.04</v>
      </c>
      <c r="E77" s="94">
        <v>0</v>
      </c>
      <c r="F77" s="19">
        <f>SUM(C77:E77)</f>
        <v>63.04</v>
      </c>
      <c r="G77" s="19">
        <v>0</v>
      </c>
      <c r="H77" s="128">
        <f t="shared" si="0"/>
        <v>63.04</v>
      </c>
    </row>
    <row r="78" spans="1:8" ht="15" customHeight="1" x14ac:dyDescent="0.25">
      <c r="A78" s="58" t="s">
        <v>303</v>
      </c>
      <c r="B78" s="57" t="s">
        <v>300</v>
      </c>
      <c r="C78" s="33">
        <v>0</v>
      </c>
      <c r="D78" s="33">
        <f>7.01</f>
        <v>7.01</v>
      </c>
      <c r="E78" s="94">
        <v>0</v>
      </c>
      <c r="F78" s="19">
        <f>SUM(C78:E78)</f>
        <v>7.01</v>
      </c>
      <c r="G78" s="19">
        <v>0</v>
      </c>
      <c r="H78" s="128">
        <f t="shared" si="0"/>
        <v>7.01</v>
      </c>
    </row>
    <row r="79" spans="1:8" ht="15.75" customHeight="1" x14ac:dyDescent="0.25">
      <c r="A79" s="17" t="s">
        <v>58</v>
      </c>
      <c r="B79" s="57" t="s">
        <v>36</v>
      </c>
      <c r="C79" s="33">
        <v>1725</v>
      </c>
      <c r="D79" s="33">
        <v>0</v>
      </c>
      <c r="E79" s="94">
        <v>50</v>
      </c>
      <c r="F79" s="19">
        <f t="shared" si="13"/>
        <v>1775</v>
      </c>
      <c r="G79" s="19">
        <v>0</v>
      </c>
      <c r="H79" s="128">
        <f t="shared" si="0"/>
        <v>1775</v>
      </c>
    </row>
    <row r="80" spans="1:8" ht="15" customHeight="1" x14ac:dyDescent="0.25">
      <c r="A80" s="17" t="s">
        <v>59</v>
      </c>
      <c r="B80" s="57" t="s">
        <v>36</v>
      </c>
      <c r="C80" s="33">
        <v>4652</v>
      </c>
      <c r="D80" s="33">
        <v>0</v>
      </c>
      <c r="E80" s="94">
        <v>401</v>
      </c>
      <c r="F80" s="19">
        <f t="shared" si="13"/>
        <v>5053</v>
      </c>
      <c r="G80" s="19">
        <v>0</v>
      </c>
      <c r="H80" s="128">
        <f t="shared" si="0"/>
        <v>5053</v>
      </c>
    </row>
    <row r="81" spans="1:8" ht="15" customHeight="1" x14ac:dyDescent="0.25">
      <c r="A81" s="17" t="s">
        <v>308</v>
      </c>
      <c r="B81" s="57" t="s">
        <v>300</v>
      </c>
      <c r="C81" s="33">
        <v>0</v>
      </c>
      <c r="D81" s="33">
        <f>85.29</f>
        <v>85.29</v>
      </c>
      <c r="E81" s="94">
        <v>0</v>
      </c>
      <c r="F81" s="19">
        <f>SUM(C81:E81)</f>
        <v>85.29</v>
      </c>
      <c r="G81" s="19">
        <v>0</v>
      </c>
      <c r="H81" s="128">
        <f t="shared" ref="H81:H146" si="14">SUM(F81:G81)</f>
        <v>85.29</v>
      </c>
    </row>
    <row r="82" spans="1:8" ht="15" customHeight="1" x14ac:dyDescent="0.25">
      <c r="A82" s="17" t="s">
        <v>309</v>
      </c>
      <c r="B82" s="57" t="s">
        <v>300</v>
      </c>
      <c r="C82" s="33">
        <v>0</v>
      </c>
      <c r="D82" s="33">
        <f>9.48</f>
        <v>9.48</v>
      </c>
      <c r="E82" s="94">
        <v>0</v>
      </c>
      <c r="F82" s="19">
        <f>SUM(C82:E82)</f>
        <v>9.48</v>
      </c>
      <c r="G82" s="19">
        <v>0</v>
      </c>
      <c r="H82" s="128">
        <f t="shared" si="14"/>
        <v>9.48</v>
      </c>
    </row>
    <row r="83" spans="1:8" ht="15" customHeight="1" x14ac:dyDescent="0.25">
      <c r="A83" s="58" t="s">
        <v>60</v>
      </c>
      <c r="B83" s="57" t="s">
        <v>36</v>
      </c>
      <c r="C83" s="33">
        <v>4512</v>
      </c>
      <c r="D83" s="33">
        <v>0</v>
      </c>
      <c r="E83" s="94">
        <v>461</v>
      </c>
      <c r="F83" s="19">
        <f t="shared" si="13"/>
        <v>4973</v>
      </c>
      <c r="G83" s="19">
        <v>0</v>
      </c>
      <c r="H83" s="128">
        <f>SUM(F83:G83)</f>
        <v>4973</v>
      </c>
    </row>
    <row r="84" spans="1:8" ht="15" customHeight="1" x14ac:dyDescent="0.25">
      <c r="A84" s="58" t="s">
        <v>299</v>
      </c>
      <c r="B84" s="57" t="s">
        <v>300</v>
      </c>
      <c r="C84" s="33">
        <v>0</v>
      </c>
      <c r="D84" s="33">
        <f>83.43</f>
        <v>83.43</v>
      </c>
      <c r="E84" s="94">
        <v>0</v>
      </c>
      <c r="F84" s="19">
        <f>SUM(C84:E84)</f>
        <v>83.43</v>
      </c>
      <c r="G84" s="19">
        <v>0</v>
      </c>
      <c r="H84" s="128">
        <f t="shared" si="14"/>
        <v>83.43</v>
      </c>
    </row>
    <row r="85" spans="1:8" ht="15" customHeight="1" x14ac:dyDescent="0.25">
      <c r="A85" s="58" t="s">
        <v>301</v>
      </c>
      <c r="B85" s="57" t="s">
        <v>300</v>
      </c>
      <c r="C85" s="33">
        <v>0</v>
      </c>
      <c r="D85" s="33">
        <f>9.27</f>
        <v>9.27</v>
      </c>
      <c r="E85" s="94">
        <v>0</v>
      </c>
      <c r="F85" s="19">
        <f>SUM(C85:E85)</f>
        <v>9.27</v>
      </c>
      <c r="G85" s="19">
        <v>0</v>
      </c>
      <c r="H85" s="128">
        <f>SUM(F85:G85)</f>
        <v>9.27</v>
      </c>
    </row>
    <row r="86" spans="1:8" ht="15" customHeight="1" x14ac:dyDescent="0.25">
      <c r="A86" s="58" t="s">
        <v>61</v>
      </c>
      <c r="B86" s="57" t="s">
        <v>36</v>
      </c>
      <c r="C86" s="33">
        <v>382</v>
      </c>
      <c r="D86" s="33">
        <v>0</v>
      </c>
      <c r="E86" s="94">
        <v>50</v>
      </c>
      <c r="F86" s="19">
        <f t="shared" si="13"/>
        <v>432</v>
      </c>
      <c r="G86" s="19">
        <v>0</v>
      </c>
      <c r="H86" s="128">
        <f t="shared" si="14"/>
        <v>432</v>
      </c>
    </row>
    <row r="87" spans="1:8" ht="15" customHeight="1" x14ac:dyDescent="0.25">
      <c r="A87" s="58" t="s">
        <v>62</v>
      </c>
      <c r="B87" s="57" t="s">
        <v>36</v>
      </c>
      <c r="C87" s="33">
        <v>343</v>
      </c>
      <c r="D87" s="33">
        <v>0</v>
      </c>
      <c r="E87" s="94">
        <v>50</v>
      </c>
      <c r="F87" s="19">
        <f t="shared" si="13"/>
        <v>393</v>
      </c>
      <c r="G87" s="22">
        <v>0</v>
      </c>
      <c r="H87" s="135">
        <f t="shared" si="14"/>
        <v>393</v>
      </c>
    </row>
    <row r="88" spans="1:8" ht="15" customHeight="1" x14ac:dyDescent="0.25">
      <c r="A88" s="58" t="s">
        <v>63</v>
      </c>
      <c r="B88" s="57" t="s">
        <v>36</v>
      </c>
      <c r="C88" s="33">
        <v>4076</v>
      </c>
      <c r="D88" s="33">
        <v>0</v>
      </c>
      <c r="E88" s="94">
        <v>517</v>
      </c>
      <c r="F88" s="19">
        <f t="shared" si="13"/>
        <v>4593</v>
      </c>
      <c r="G88" s="19">
        <v>0</v>
      </c>
      <c r="H88" s="128">
        <f t="shared" si="14"/>
        <v>4593</v>
      </c>
    </row>
    <row r="89" spans="1:8" ht="15" customHeight="1" x14ac:dyDescent="0.25">
      <c r="A89" s="58" t="s">
        <v>304</v>
      </c>
      <c r="B89" s="57" t="s">
        <v>300</v>
      </c>
      <c r="C89" s="33">
        <v>0</v>
      </c>
      <c r="D89" s="33">
        <f>83.43</f>
        <v>83.43</v>
      </c>
      <c r="E89" s="94">
        <v>0</v>
      </c>
      <c r="F89" s="19">
        <f>SUM(C89:E89)</f>
        <v>83.43</v>
      </c>
      <c r="G89" s="19">
        <v>0</v>
      </c>
      <c r="H89" s="128">
        <f t="shared" si="14"/>
        <v>83.43</v>
      </c>
    </row>
    <row r="90" spans="1:8" ht="15" customHeight="1" x14ac:dyDescent="0.25">
      <c r="A90" s="58" t="s">
        <v>305</v>
      </c>
      <c r="B90" s="57" t="s">
        <v>300</v>
      </c>
      <c r="C90" s="33">
        <v>0</v>
      </c>
      <c r="D90" s="33">
        <f>9.27</f>
        <v>9.27</v>
      </c>
      <c r="E90" s="94">
        <v>0</v>
      </c>
      <c r="F90" s="19">
        <f>SUM(C90:E90)</f>
        <v>9.27</v>
      </c>
      <c r="G90" s="19">
        <v>0</v>
      </c>
      <c r="H90" s="128">
        <f t="shared" si="14"/>
        <v>9.27</v>
      </c>
    </row>
    <row r="91" spans="1:8" ht="15" customHeight="1" x14ac:dyDescent="0.25">
      <c r="A91" s="58" t="s">
        <v>64</v>
      </c>
      <c r="B91" s="57" t="s">
        <v>36</v>
      </c>
      <c r="C91" s="150">
        <v>385</v>
      </c>
      <c r="D91" s="150">
        <v>0</v>
      </c>
      <c r="E91" s="145">
        <v>50</v>
      </c>
      <c r="F91" s="144">
        <f t="shared" si="13"/>
        <v>435</v>
      </c>
      <c r="G91" s="144">
        <v>0</v>
      </c>
      <c r="H91" s="128">
        <f t="shared" si="14"/>
        <v>435</v>
      </c>
    </row>
    <row r="92" spans="1:8" ht="15" customHeight="1" x14ac:dyDescent="0.25">
      <c r="A92" s="58" t="s">
        <v>65</v>
      </c>
      <c r="B92" s="57" t="s">
        <v>36</v>
      </c>
      <c r="C92" s="150">
        <v>3531</v>
      </c>
      <c r="D92" s="150">
        <v>0</v>
      </c>
      <c r="E92" s="145">
        <v>262</v>
      </c>
      <c r="F92" s="144">
        <f t="shared" si="13"/>
        <v>3793</v>
      </c>
      <c r="G92" s="144">
        <v>0</v>
      </c>
      <c r="H92" s="128">
        <f t="shared" si="14"/>
        <v>3793</v>
      </c>
    </row>
    <row r="93" spans="1:8" ht="15" customHeight="1" x14ac:dyDescent="0.25">
      <c r="A93" s="58" t="s">
        <v>310</v>
      </c>
      <c r="B93" s="57" t="s">
        <v>300</v>
      </c>
      <c r="C93" s="150">
        <v>0</v>
      </c>
      <c r="D93" s="150">
        <f>87.61</f>
        <v>87.61</v>
      </c>
      <c r="E93" s="145">
        <v>0</v>
      </c>
      <c r="F93" s="144">
        <f>SUM(C93:E93)</f>
        <v>87.61</v>
      </c>
      <c r="G93" s="144">
        <v>0</v>
      </c>
      <c r="H93" s="128">
        <f t="shared" si="14"/>
        <v>87.61</v>
      </c>
    </row>
    <row r="94" spans="1:8" ht="15" customHeight="1" x14ac:dyDescent="0.25">
      <c r="A94" s="58" t="s">
        <v>311</v>
      </c>
      <c r="B94" s="57" t="s">
        <v>300</v>
      </c>
      <c r="C94" s="150">
        <v>0</v>
      </c>
      <c r="D94" s="150">
        <f>9.74</f>
        <v>9.74</v>
      </c>
      <c r="E94" s="145">
        <v>0</v>
      </c>
      <c r="F94" s="144">
        <f>SUM(C94:E94)</f>
        <v>9.74</v>
      </c>
      <c r="G94" s="144">
        <v>0</v>
      </c>
      <c r="H94" s="128">
        <f t="shared" si="14"/>
        <v>9.74</v>
      </c>
    </row>
    <row r="95" spans="1:8" ht="28.5" customHeight="1" x14ac:dyDescent="0.25">
      <c r="A95" s="17" t="s">
        <v>290</v>
      </c>
      <c r="B95" s="57" t="s">
        <v>273</v>
      </c>
      <c r="C95" s="150">
        <v>0</v>
      </c>
      <c r="D95" s="150">
        <v>0</v>
      </c>
      <c r="E95" s="145">
        <v>16.66</v>
      </c>
      <c r="F95" s="144">
        <f t="shared" si="13"/>
        <v>16.66</v>
      </c>
      <c r="G95" s="144">
        <v>0</v>
      </c>
      <c r="H95" s="128">
        <f t="shared" si="14"/>
        <v>16.66</v>
      </c>
    </row>
    <row r="96" spans="1:8" ht="15" customHeight="1" x14ac:dyDescent="0.25">
      <c r="A96" s="58" t="s">
        <v>66</v>
      </c>
      <c r="B96" s="57" t="s">
        <v>36</v>
      </c>
      <c r="C96" s="150">
        <v>4894</v>
      </c>
      <c r="D96" s="150">
        <v>0</v>
      </c>
      <c r="E96" s="145">
        <v>550</v>
      </c>
      <c r="F96" s="144">
        <f t="shared" si="13"/>
        <v>5444</v>
      </c>
      <c r="G96" s="144">
        <v>0</v>
      </c>
      <c r="H96" s="128">
        <f t="shared" si="14"/>
        <v>5444</v>
      </c>
    </row>
    <row r="97" spans="1:8" ht="27.75" customHeight="1" x14ac:dyDescent="0.25">
      <c r="A97" s="17" t="s">
        <v>291</v>
      </c>
      <c r="B97" s="57" t="s">
        <v>273</v>
      </c>
      <c r="C97" s="150">
        <v>0</v>
      </c>
      <c r="D97" s="150">
        <v>0</v>
      </c>
      <c r="E97" s="145">
        <v>36.58</v>
      </c>
      <c r="F97" s="144">
        <f>SUM(C97:E97)</f>
        <v>36.58</v>
      </c>
      <c r="G97" s="144">
        <v>0</v>
      </c>
      <c r="H97" s="128">
        <f t="shared" si="14"/>
        <v>36.58</v>
      </c>
    </row>
    <row r="98" spans="1:8" ht="17.25" customHeight="1" x14ac:dyDescent="0.25">
      <c r="A98" s="17" t="s">
        <v>67</v>
      </c>
      <c r="B98" s="57" t="s">
        <v>36</v>
      </c>
      <c r="C98" s="150">
        <v>9231</v>
      </c>
      <c r="D98" s="150">
        <v>0</v>
      </c>
      <c r="E98" s="145">
        <v>1173</v>
      </c>
      <c r="F98" s="144">
        <f t="shared" si="13"/>
        <v>10404</v>
      </c>
      <c r="G98" s="144">
        <v>0</v>
      </c>
      <c r="H98" s="128">
        <f t="shared" si="14"/>
        <v>10404</v>
      </c>
    </row>
    <row r="99" spans="1:8" ht="15" customHeight="1" x14ac:dyDescent="0.25">
      <c r="A99" s="17" t="s">
        <v>68</v>
      </c>
      <c r="B99" s="57" t="s">
        <v>36</v>
      </c>
      <c r="C99" s="150">
        <v>7728</v>
      </c>
      <c r="D99" s="150">
        <v>0</v>
      </c>
      <c r="E99" s="145">
        <v>220</v>
      </c>
      <c r="F99" s="144">
        <f t="shared" si="13"/>
        <v>7948</v>
      </c>
      <c r="G99" s="144">
        <v>0</v>
      </c>
      <c r="H99" s="128">
        <f t="shared" si="14"/>
        <v>7948</v>
      </c>
    </row>
    <row r="100" spans="1:8" x14ac:dyDescent="0.25">
      <c r="A100" s="58" t="s">
        <v>69</v>
      </c>
      <c r="B100" s="57" t="s">
        <v>36</v>
      </c>
      <c r="C100" s="150">
        <v>2224</v>
      </c>
      <c r="D100" s="150">
        <v>0</v>
      </c>
      <c r="E100" s="145">
        <v>100</v>
      </c>
      <c r="F100" s="144">
        <f t="shared" si="13"/>
        <v>2324</v>
      </c>
      <c r="G100" s="144">
        <v>0</v>
      </c>
      <c r="H100" s="128">
        <f t="shared" si="14"/>
        <v>2324</v>
      </c>
    </row>
    <row r="101" spans="1:8" x14ac:dyDescent="0.25">
      <c r="A101" s="58" t="s">
        <v>70</v>
      </c>
      <c r="B101" s="57" t="s">
        <v>36</v>
      </c>
      <c r="C101" s="150">
        <v>5122</v>
      </c>
      <c r="D101" s="150">
        <v>0</v>
      </c>
      <c r="E101" s="145">
        <v>417</v>
      </c>
      <c r="F101" s="144">
        <f t="shared" si="13"/>
        <v>5539</v>
      </c>
      <c r="G101" s="144">
        <v>0</v>
      </c>
      <c r="H101" s="128">
        <f t="shared" si="14"/>
        <v>5539</v>
      </c>
    </row>
    <row r="102" spans="1:8" ht="15.75" customHeight="1" x14ac:dyDescent="0.25">
      <c r="A102" s="17" t="s">
        <v>71</v>
      </c>
      <c r="B102" s="57" t="s">
        <v>36</v>
      </c>
      <c r="C102" s="150">
        <v>14283</v>
      </c>
      <c r="D102" s="150">
        <v>0</v>
      </c>
      <c r="E102" s="145">
        <v>214</v>
      </c>
      <c r="F102" s="144">
        <f t="shared" si="13"/>
        <v>14497</v>
      </c>
      <c r="G102" s="144">
        <v>0</v>
      </c>
      <c r="H102" s="128">
        <f t="shared" si="14"/>
        <v>14497</v>
      </c>
    </row>
    <row r="103" spans="1:8" x14ac:dyDescent="0.25">
      <c r="A103" s="58" t="s">
        <v>72</v>
      </c>
      <c r="B103" s="57" t="s">
        <v>36</v>
      </c>
      <c r="C103" s="150">
        <v>9246</v>
      </c>
      <c r="D103" s="150">
        <v>0</v>
      </c>
      <c r="E103" s="145">
        <v>555</v>
      </c>
      <c r="F103" s="144">
        <f t="shared" si="13"/>
        <v>9801</v>
      </c>
      <c r="G103" s="144">
        <v>0</v>
      </c>
      <c r="H103" s="128">
        <f t="shared" si="14"/>
        <v>9801</v>
      </c>
    </row>
    <row r="104" spans="1:8" x14ac:dyDescent="0.25">
      <c r="A104" s="58" t="s">
        <v>73</v>
      </c>
      <c r="B104" s="57" t="s">
        <v>36</v>
      </c>
      <c r="C104" s="150">
        <v>10173</v>
      </c>
      <c r="D104" s="150">
        <v>0</v>
      </c>
      <c r="E104" s="145">
        <v>337</v>
      </c>
      <c r="F104" s="144">
        <f t="shared" si="13"/>
        <v>10510</v>
      </c>
      <c r="G104" s="144">
        <v>0</v>
      </c>
      <c r="H104" s="128">
        <f t="shared" si="14"/>
        <v>10510</v>
      </c>
    </row>
    <row r="105" spans="1:8" x14ac:dyDescent="0.25">
      <c r="A105" s="58" t="s">
        <v>74</v>
      </c>
      <c r="B105" s="57" t="s">
        <v>36</v>
      </c>
      <c r="C105" s="150">
        <v>7853</v>
      </c>
      <c r="D105" s="150">
        <v>0</v>
      </c>
      <c r="E105" s="145">
        <v>168</v>
      </c>
      <c r="F105" s="144">
        <f t="shared" si="13"/>
        <v>8021</v>
      </c>
      <c r="G105" s="144">
        <v>0</v>
      </c>
      <c r="H105" s="128">
        <f t="shared" si="14"/>
        <v>8021</v>
      </c>
    </row>
    <row r="106" spans="1:8" x14ac:dyDescent="0.25">
      <c r="A106" s="58" t="s">
        <v>75</v>
      </c>
      <c r="B106" s="57" t="s">
        <v>36</v>
      </c>
      <c r="C106" s="150">
        <v>3554</v>
      </c>
      <c r="D106" s="150">
        <v>0</v>
      </c>
      <c r="E106" s="145">
        <v>462</v>
      </c>
      <c r="F106" s="144">
        <f t="shared" si="13"/>
        <v>4016</v>
      </c>
      <c r="G106" s="144">
        <v>0</v>
      </c>
      <c r="H106" s="128">
        <f t="shared" si="14"/>
        <v>4016</v>
      </c>
    </row>
    <row r="107" spans="1:8" ht="15.75" customHeight="1" x14ac:dyDescent="0.25">
      <c r="A107" s="58" t="s">
        <v>76</v>
      </c>
      <c r="B107" s="57" t="s">
        <v>36</v>
      </c>
      <c r="C107" s="150">
        <v>1575</v>
      </c>
      <c r="D107" s="150">
        <v>0</v>
      </c>
      <c r="E107" s="145">
        <v>100</v>
      </c>
      <c r="F107" s="144">
        <f t="shared" si="13"/>
        <v>1675</v>
      </c>
      <c r="G107" s="144">
        <v>0</v>
      </c>
      <c r="H107" s="128">
        <f t="shared" si="14"/>
        <v>1675</v>
      </c>
    </row>
    <row r="108" spans="1:8" x14ac:dyDescent="0.25">
      <c r="A108" s="58" t="s">
        <v>77</v>
      </c>
      <c r="B108" s="57" t="s">
        <v>36</v>
      </c>
      <c r="C108" s="150">
        <v>11136</v>
      </c>
      <c r="D108" s="150">
        <v>0</v>
      </c>
      <c r="E108" s="145">
        <v>1062</v>
      </c>
      <c r="F108" s="144">
        <f t="shared" si="13"/>
        <v>12198</v>
      </c>
      <c r="G108" s="144">
        <v>0</v>
      </c>
      <c r="H108" s="128">
        <f t="shared" si="14"/>
        <v>12198</v>
      </c>
    </row>
    <row r="109" spans="1:8" x14ac:dyDescent="0.25">
      <c r="A109" s="58" t="s">
        <v>265</v>
      </c>
      <c r="B109" s="57" t="s">
        <v>266</v>
      </c>
      <c r="C109" s="150">
        <v>0</v>
      </c>
      <c r="D109" s="150">
        <f>166.86-143.36</f>
        <v>23.5</v>
      </c>
      <c r="E109" s="145">
        <v>0</v>
      </c>
      <c r="F109" s="144">
        <f t="shared" si="13"/>
        <v>23.5</v>
      </c>
      <c r="G109" s="144">
        <v>0</v>
      </c>
      <c r="H109" s="128">
        <f t="shared" si="14"/>
        <v>23.5</v>
      </c>
    </row>
    <row r="110" spans="1:8" x14ac:dyDescent="0.25">
      <c r="A110" s="58" t="s">
        <v>267</v>
      </c>
      <c r="B110" s="57" t="s">
        <v>266</v>
      </c>
      <c r="C110" s="150">
        <v>0</v>
      </c>
      <c r="D110" s="150">
        <f>18.54-15.92</f>
        <v>2.6199999999999992</v>
      </c>
      <c r="E110" s="145">
        <v>0</v>
      </c>
      <c r="F110" s="144">
        <f t="shared" si="13"/>
        <v>2.6199999999999992</v>
      </c>
      <c r="G110" s="144">
        <v>0</v>
      </c>
      <c r="H110" s="128">
        <f t="shared" si="14"/>
        <v>2.6199999999999992</v>
      </c>
    </row>
    <row r="111" spans="1:8" x14ac:dyDescent="0.25">
      <c r="A111" s="58" t="s">
        <v>78</v>
      </c>
      <c r="B111" s="57" t="s">
        <v>36</v>
      </c>
      <c r="C111" s="150">
        <v>2265</v>
      </c>
      <c r="D111" s="150">
        <v>0</v>
      </c>
      <c r="E111" s="145">
        <v>337</v>
      </c>
      <c r="F111" s="144">
        <f t="shared" si="13"/>
        <v>2602</v>
      </c>
      <c r="G111" s="142">
        <v>0</v>
      </c>
      <c r="H111" s="127">
        <f t="shared" si="14"/>
        <v>2602</v>
      </c>
    </row>
    <row r="112" spans="1:8" x14ac:dyDescent="0.25">
      <c r="A112" s="58" t="s">
        <v>79</v>
      </c>
      <c r="B112" s="57" t="s">
        <v>36</v>
      </c>
      <c r="C112" s="150">
        <v>2082</v>
      </c>
      <c r="D112" s="153">
        <v>0</v>
      </c>
      <c r="E112" s="145">
        <v>600</v>
      </c>
      <c r="F112" s="144">
        <f t="shared" si="13"/>
        <v>2682</v>
      </c>
      <c r="G112" s="144">
        <v>0</v>
      </c>
      <c r="H112" s="128">
        <f t="shared" si="14"/>
        <v>2682</v>
      </c>
    </row>
    <row r="113" spans="1:8" x14ac:dyDescent="0.25">
      <c r="A113" s="62" t="s">
        <v>104</v>
      </c>
      <c r="B113" s="63" t="s">
        <v>36</v>
      </c>
      <c r="C113" s="153">
        <v>0</v>
      </c>
      <c r="D113" s="153"/>
      <c r="E113" s="145"/>
      <c r="F113" s="144">
        <v>0</v>
      </c>
      <c r="G113" s="144">
        <f>217</f>
        <v>217</v>
      </c>
      <c r="H113" s="128">
        <f>SUM(F113:G113)</f>
        <v>217</v>
      </c>
    </row>
    <row r="114" spans="1:8" x14ac:dyDescent="0.25">
      <c r="A114" s="62" t="s">
        <v>80</v>
      </c>
      <c r="B114" s="63" t="s">
        <v>36</v>
      </c>
      <c r="C114" s="153">
        <v>2658</v>
      </c>
      <c r="D114" s="153">
        <v>0</v>
      </c>
      <c r="E114" s="145">
        <v>0</v>
      </c>
      <c r="F114" s="144">
        <f t="shared" si="13"/>
        <v>2658</v>
      </c>
      <c r="G114" s="144">
        <v>0</v>
      </c>
      <c r="H114" s="128">
        <f t="shared" si="14"/>
        <v>2658</v>
      </c>
    </row>
    <row r="115" spans="1:8" ht="15.75" customHeight="1" x14ac:dyDescent="0.25">
      <c r="A115" s="62" t="s">
        <v>81</v>
      </c>
      <c r="B115" s="63" t="s">
        <v>36</v>
      </c>
      <c r="C115" s="153">
        <v>21688</v>
      </c>
      <c r="D115" s="153">
        <v>0</v>
      </c>
      <c r="E115" s="145">
        <v>0</v>
      </c>
      <c r="F115" s="144">
        <f t="shared" si="13"/>
        <v>21688</v>
      </c>
      <c r="G115" s="144">
        <v>0</v>
      </c>
      <c r="H115" s="128">
        <f t="shared" si="14"/>
        <v>21688</v>
      </c>
    </row>
    <row r="116" spans="1:8" ht="15.75" customHeight="1" x14ac:dyDescent="0.25">
      <c r="A116" s="62" t="s">
        <v>338</v>
      </c>
      <c r="B116" s="63" t="s">
        <v>36</v>
      </c>
      <c r="C116" s="153">
        <v>0</v>
      </c>
      <c r="D116" s="153"/>
      <c r="E116" s="145"/>
      <c r="F116" s="144">
        <v>0</v>
      </c>
      <c r="G116" s="144">
        <f>1829</f>
        <v>1829</v>
      </c>
      <c r="H116" s="128">
        <f>SUM(F116:G116)</f>
        <v>1829</v>
      </c>
    </row>
    <row r="117" spans="1:8" ht="15.75" customHeight="1" x14ac:dyDescent="0.25">
      <c r="A117" s="62" t="s">
        <v>329</v>
      </c>
      <c r="B117" s="63" t="s">
        <v>36</v>
      </c>
      <c r="C117" s="153">
        <v>0</v>
      </c>
      <c r="D117" s="153"/>
      <c r="E117" s="145"/>
      <c r="F117" s="144">
        <v>0</v>
      </c>
      <c r="G117" s="144">
        <f>15</f>
        <v>15</v>
      </c>
      <c r="H117" s="128">
        <f>SUM(F117:G117)</f>
        <v>15</v>
      </c>
    </row>
    <row r="118" spans="1:8" x14ac:dyDescent="0.25">
      <c r="A118" s="62" t="s">
        <v>82</v>
      </c>
      <c r="B118" s="63" t="s">
        <v>36</v>
      </c>
      <c r="C118" s="153">
        <v>26531</v>
      </c>
      <c r="D118" s="153">
        <v>0</v>
      </c>
      <c r="E118" s="145">
        <v>0</v>
      </c>
      <c r="F118" s="144">
        <f t="shared" si="13"/>
        <v>26531</v>
      </c>
      <c r="G118" s="144">
        <v>0</v>
      </c>
      <c r="H118" s="128">
        <f t="shared" si="14"/>
        <v>26531</v>
      </c>
    </row>
    <row r="119" spans="1:8" ht="28.5" customHeight="1" x14ac:dyDescent="0.25">
      <c r="A119" s="69" t="s">
        <v>289</v>
      </c>
      <c r="B119" s="63" t="s">
        <v>36</v>
      </c>
      <c r="C119" s="150">
        <v>0</v>
      </c>
      <c r="D119" s="150">
        <v>0</v>
      </c>
      <c r="E119" s="144">
        <v>1400</v>
      </c>
      <c r="F119" s="144">
        <f t="shared" si="13"/>
        <v>1400</v>
      </c>
      <c r="G119" s="144">
        <v>0</v>
      </c>
      <c r="H119" s="128">
        <f t="shared" si="14"/>
        <v>1400</v>
      </c>
    </row>
    <row r="120" spans="1:8" ht="38.25" customHeight="1" x14ac:dyDescent="0.25">
      <c r="A120" s="64" t="s">
        <v>83</v>
      </c>
      <c r="B120" s="65"/>
      <c r="C120" s="154">
        <v>9000</v>
      </c>
      <c r="D120" s="154">
        <f>-2223.7</f>
        <v>-2223.6999999999998</v>
      </c>
      <c r="E120" s="155">
        <v>82.59</v>
      </c>
      <c r="F120" s="148">
        <f t="shared" si="13"/>
        <v>6858.89</v>
      </c>
      <c r="G120" s="144">
        <v>0</v>
      </c>
      <c r="H120" s="128">
        <f t="shared" si="14"/>
        <v>6858.89</v>
      </c>
    </row>
    <row r="121" spans="1:8" ht="16.5" customHeight="1" x14ac:dyDescent="0.25">
      <c r="A121" s="68" t="s">
        <v>84</v>
      </c>
      <c r="B121" s="63" t="s">
        <v>85</v>
      </c>
      <c r="C121" s="153">
        <v>0</v>
      </c>
      <c r="D121" s="153">
        <f>173.63</f>
        <v>173.63</v>
      </c>
      <c r="E121" s="145">
        <v>0</v>
      </c>
      <c r="F121" s="144">
        <f t="shared" si="13"/>
        <v>173.63</v>
      </c>
      <c r="G121" s="144">
        <v>0</v>
      </c>
      <c r="H121" s="128">
        <f t="shared" si="14"/>
        <v>173.63</v>
      </c>
    </row>
    <row r="122" spans="1:8" ht="16.5" customHeight="1" x14ac:dyDescent="0.25">
      <c r="A122" s="68" t="s">
        <v>86</v>
      </c>
      <c r="B122" s="63" t="s">
        <v>85</v>
      </c>
      <c r="C122" s="153">
        <v>0</v>
      </c>
      <c r="D122" s="153">
        <f>114.47</f>
        <v>114.47</v>
      </c>
      <c r="E122" s="145">
        <v>0</v>
      </c>
      <c r="F122" s="144">
        <f t="shared" si="13"/>
        <v>114.47</v>
      </c>
      <c r="G122" s="144">
        <v>0</v>
      </c>
      <c r="H122" s="128">
        <f t="shared" si="14"/>
        <v>114.47</v>
      </c>
    </row>
    <row r="123" spans="1:8" ht="16.5" customHeight="1" x14ac:dyDescent="0.25">
      <c r="A123" s="68" t="s">
        <v>87</v>
      </c>
      <c r="B123" s="63" t="s">
        <v>85</v>
      </c>
      <c r="C123" s="153">
        <v>0</v>
      </c>
      <c r="D123" s="153">
        <f>182.99</f>
        <v>182.99</v>
      </c>
      <c r="E123" s="145">
        <v>0</v>
      </c>
      <c r="F123" s="144">
        <f t="shared" si="13"/>
        <v>182.99</v>
      </c>
      <c r="G123" s="144">
        <v>0</v>
      </c>
      <c r="H123" s="128">
        <f t="shared" si="14"/>
        <v>182.99</v>
      </c>
    </row>
    <row r="124" spans="1:8" ht="16.5" customHeight="1" x14ac:dyDescent="0.25">
      <c r="A124" s="68" t="s">
        <v>88</v>
      </c>
      <c r="B124" s="63" t="s">
        <v>85</v>
      </c>
      <c r="C124" s="153">
        <v>0</v>
      </c>
      <c r="D124" s="153">
        <f>407.87</f>
        <v>407.87</v>
      </c>
      <c r="E124" s="145">
        <v>0</v>
      </c>
      <c r="F124" s="144">
        <f t="shared" si="13"/>
        <v>407.87</v>
      </c>
      <c r="G124" s="144">
        <v>0</v>
      </c>
      <c r="H124" s="128">
        <f t="shared" si="14"/>
        <v>407.87</v>
      </c>
    </row>
    <row r="125" spans="1:8" ht="16.5" customHeight="1" x14ac:dyDescent="0.25">
      <c r="A125" s="68" t="s">
        <v>89</v>
      </c>
      <c r="B125" s="63" t="s">
        <v>85</v>
      </c>
      <c r="C125" s="153">
        <v>0</v>
      </c>
      <c r="D125" s="153">
        <f>285.02</f>
        <v>285.02</v>
      </c>
      <c r="E125" s="145">
        <v>0</v>
      </c>
      <c r="F125" s="144">
        <f t="shared" si="13"/>
        <v>285.02</v>
      </c>
      <c r="G125" s="144">
        <v>0</v>
      </c>
      <c r="H125" s="128">
        <f t="shared" si="14"/>
        <v>285.02</v>
      </c>
    </row>
    <row r="126" spans="1:8" ht="16.5" customHeight="1" x14ac:dyDescent="0.25">
      <c r="A126" s="68" t="s">
        <v>90</v>
      </c>
      <c r="B126" s="63" t="s">
        <v>85</v>
      </c>
      <c r="C126" s="153">
        <v>0</v>
      </c>
      <c r="D126" s="153">
        <f>187.67</f>
        <v>187.67</v>
      </c>
      <c r="E126" s="145">
        <v>0</v>
      </c>
      <c r="F126" s="144">
        <f t="shared" si="13"/>
        <v>187.67</v>
      </c>
      <c r="G126" s="144">
        <v>0</v>
      </c>
      <c r="H126" s="128">
        <f t="shared" si="14"/>
        <v>187.67</v>
      </c>
    </row>
    <row r="127" spans="1:8" ht="16.5" customHeight="1" x14ac:dyDescent="0.25">
      <c r="A127" s="68" t="s">
        <v>91</v>
      </c>
      <c r="B127" s="63" t="s">
        <v>85</v>
      </c>
      <c r="C127" s="153">
        <v>0</v>
      </c>
      <c r="D127" s="153">
        <f>306.78</f>
        <v>306.77999999999997</v>
      </c>
      <c r="E127" s="145">
        <v>0</v>
      </c>
      <c r="F127" s="144">
        <f t="shared" si="13"/>
        <v>306.77999999999997</v>
      </c>
      <c r="G127" s="144">
        <v>0</v>
      </c>
      <c r="H127" s="128">
        <f t="shared" si="14"/>
        <v>306.77999999999997</v>
      </c>
    </row>
    <row r="128" spans="1:8" ht="16.5" customHeight="1" x14ac:dyDescent="0.25">
      <c r="A128" s="68" t="s">
        <v>92</v>
      </c>
      <c r="B128" s="63" t="s">
        <v>85</v>
      </c>
      <c r="C128" s="153">
        <v>0</v>
      </c>
      <c r="D128" s="153">
        <f>398.76</f>
        <v>398.76</v>
      </c>
      <c r="E128" s="145">
        <v>0</v>
      </c>
      <c r="F128" s="144">
        <f t="shared" si="13"/>
        <v>398.76</v>
      </c>
      <c r="G128" s="144">
        <v>0</v>
      </c>
      <c r="H128" s="128">
        <f t="shared" si="14"/>
        <v>398.76</v>
      </c>
    </row>
    <row r="129" spans="1:8" ht="17.25" customHeight="1" x14ac:dyDescent="0.25">
      <c r="A129" s="68" t="s">
        <v>93</v>
      </c>
      <c r="B129" s="63" t="s">
        <v>85</v>
      </c>
      <c r="C129" s="153">
        <v>0</v>
      </c>
      <c r="D129" s="153">
        <f>43.06</f>
        <v>43.06</v>
      </c>
      <c r="E129" s="145">
        <v>0</v>
      </c>
      <c r="F129" s="144">
        <f t="shared" si="13"/>
        <v>43.06</v>
      </c>
      <c r="G129" s="144">
        <v>0</v>
      </c>
      <c r="H129" s="128">
        <f t="shared" si="14"/>
        <v>43.06</v>
      </c>
    </row>
    <row r="130" spans="1:8" ht="16.5" customHeight="1" x14ac:dyDescent="0.25">
      <c r="A130" s="17" t="s">
        <v>94</v>
      </c>
      <c r="B130" s="57" t="s">
        <v>85</v>
      </c>
      <c r="C130" s="150">
        <v>0</v>
      </c>
      <c r="D130" s="150">
        <f>19.89</f>
        <v>19.89</v>
      </c>
      <c r="E130" s="144">
        <v>0</v>
      </c>
      <c r="F130" s="144">
        <f t="shared" si="13"/>
        <v>19.89</v>
      </c>
      <c r="G130" s="144">
        <v>0</v>
      </c>
      <c r="H130" s="128">
        <f t="shared" si="14"/>
        <v>19.89</v>
      </c>
    </row>
    <row r="131" spans="1:8" ht="16.5" customHeight="1" x14ac:dyDescent="0.25">
      <c r="A131" s="17" t="s">
        <v>95</v>
      </c>
      <c r="B131" s="57" t="s">
        <v>85</v>
      </c>
      <c r="C131" s="150">
        <v>0</v>
      </c>
      <c r="D131" s="150">
        <f>3.75</f>
        <v>3.75</v>
      </c>
      <c r="E131" s="144">
        <v>0</v>
      </c>
      <c r="F131" s="144">
        <f t="shared" si="13"/>
        <v>3.75</v>
      </c>
      <c r="G131" s="144">
        <v>0</v>
      </c>
      <c r="H131" s="128">
        <f t="shared" si="14"/>
        <v>3.75</v>
      </c>
    </row>
    <row r="132" spans="1:8" ht="16.5" customHeight="1" x14ac:dyDescent="0.25">
      <c r="A132" s="17" t="s">
        <v>96</v>
      </c>
      <c r="B132" s="57" t="s">
        <v>85</v>
      </c>
      <c r="C132" s="150">
        <v>0</v>
      </c>
      <c r="D132" s="150">
        <f>99.81</f>
        <v>99.81</v>
      </c>
      <c r="E132" s="144">
        <v>0</v>
      </c>
      <c r="F132" s="144">
        <f t="shared" si="13"/>
        <v>99.81</v>
      </c>
      <c r="G132" s="144">
        <v>0</v>
      </c>
      <c r="H132" s="128">
        <f t="shared" si="14"/>
        <v>99.81</v>
      </c>
    </row>
    <row r="133" spans="1:8" ht="15" customHeight="1" x14ac:dyDescent="0.25">
      <c r="A133" s="67" t="s">
        <v>97</v>
      </c>
      <c r="B133" s="66" t="s">
        <v>36</v>
      </c>
      <c r="C133" s="156">
        <v>400</v>
      </c>
      <c r="D133" s="156">
        <v>0</v>
      </c>
      <c r="E133" s="143">
        <v>0</v>
      </c>
      <c r="F133" s="144">
        <f t="shared" si="13"/>
        <v>400</v>
      </c>
      <c r="G133" s="144">
        <v>0</v>
      </c>
      <c r="H133" s="128">
        <f t="shared" si="14"/>
        <v>400</v>
      </c>
    </row>
    <row r="134" spans="1:8" ht="15" customHeight="1" x14ac:dyDescent="0.25">
      <c r="A134" s="68" t="s">
        <v>98</v>
      </c>
      <c r="B134" s="57" t="s">
        <v>36</v>
      </c>
      <c r="C134" s="153">
        <v>85</v>
      </c>
      <c r="D134" s="153">
        <v>0</v>
      </c>
      <c r="E134" s="145">
        <v>0</v>
      </c>
      <c r="F134" s="144">
        <f t="shared" si="13"/>
        <v>85</v>
      </c>
      <c r="G134" s="144">
        <v>0</v>
      </c>
      <c r="H134" s="128">
        <f t="shared" si="14"/>
        <v>85</v>
      </c>
    </row>
    <row r="135" spans="1:8" ht="15" customHeight="1" x14ac:dyDescent="0.25">
      <c r="A135" s="17" t="s">
        <v>99</v>
      </c>
      <c r="B135" s="57" t="s">
        <v>100</v>
      </c>
      <c r="C135" s="153">
        <v>1350</v>
      </c>
      <c r="D135" s="153">
        <v>0</v>
      </c>
      <c r="E135" s="145">
        <v>0</v>
      </c>
      <c r="F135" s="144">
        <f t="shared" si="13"/>
        <v>1350</v>
      </c>
      <c r="G135" s="144">
        <v>0</v>
      </c>
      <c r="H135" s="128">
        <f t="shared" si="14"/>
        <v>1350</v>
      </c>
    </row>
    <row r="136" spans="1:8" ht="15" customHeight="1" x14ac:dyDescent="0.25">
      <c r="A136" s="17" t="s">
        <v>101</v>
      </c>
      <c r="B136" s="57" t="s">
        <v>100</v>
      </c>
      <c r="C136" s="153">
        <v>1900</v>
      </c>
      <c r="D136" s="150">
        <v>0</v>
      </c>
      <c r="E136" s="145">
        <v>0</v>
      </c>
      <c r="F136" s="144">
        <f t="shared" si="13"/>
        <v>1900</v>
      </c>
      <c r="G136" s="144">
        <v>0</v>
      </c>
      <c r="H136" s="128">
        <f t="shared" si="14"/>
        <v>1900</v>
      </c>
    </row>
    <row r="137" spans="1:8" ht="18" customHeight="1" x14ac:dyDescent="0.25">
      <c r="A137" s="14" t="s">
        <v>102</v>
      </c>
      <c r="B137" s="114" t="s">
        <v>100</v>
      </c>
      <c r="C137" s="149">
        <v>1750</v>
      </c>
      <c r="D137" s="149">
        <v>0</v>
      </c>
      <c r="E137" s="143">
        <v>0</v>
      </c>
      <c r="F137" s="142">
        <f t="shared" si="13"/>
        <v>1750</v>
      </c>
      <c r="G137" s="148">
        <v>0</v>
      </c>
      <c r="H137" s="135">
        <f t="shared" si="14"/>
        <v>1750</v>
      </c>
    </row>
    <row r="138" spans="1:8" ht="28.5" customHeight="1" x14ac:dyDescent="0.25">
      <c r="A138" s="34" t="s">
        <v>103</v>
      </c>
      <c r="B138" s="57" t="s">
        <v>36</v>
      </c>
      <c r="C138" s="150">
        <v>700</v>
      </c>
      <c r="D138" s="150">
        <v>0</v>
      </c>
      <c r="E138" s="145">
        <v>0</v>
      </c>
      <c r="F138" s="144">
        <f t="shared" si="13"/>
        <v>700</v>
      </c>
      <c r="G138" s="144">
        <v>0</v>
      </c>
      <c r="H138" s="128">
        <f t="shared" si="14"/>
        <v>700</v>
      </c>
    </row>
    <row r="139" spans="1:8" ht="16.5" customHeight="1" x14ac:dyDescent="0.25">
      <c r="A139" s="17" t="s">
        <v>105</v>
      </c>
      <c r="B139" s="57" t="s">
        <v>36</v>
      </c>
      <c r="C139" s="150">
        <v>50</v>
      </c>
      <c r="D139" s="150">
        <v>0</v>
      </c>
      <c r="E139" s="145">
        <v>0</v>
      </c>
      <c r="F139" s="144">
        <f t="shared" si="13"/>
        <v>50</v>
      </c>
      <c r="G139" s="144">
        <v>0</v>
      </c>
      <c r="H139" s="128">
        <f t="shared" si="14"/>
        <v>50</v>
      </c>
    </row>
    <row r="140" spans="1:8" ht="26.25" customHeight="1" x14ac:dyDescent="0.25">
      <c r="A140" s="17" t="s">
        <v>106</v>
      </c>
      <c r="B140" s="57" t="s">
        <v>36</v>
      </c>
      <c r="C140" s="150">
        <v>2000</v>
      </c>
      <c r="D140" s="150">
        <v>0</v>
      </c>
      <c r="E140" s="145">
        <v>0</v>
      </c>
      <c r="F140" s="144">
        <f t="shared" si="13"/>
        <v>2000</v>
      </c>
      <c r="G140" s="144">
        <v>0</v>
      </c>
      <c r="H140" s="128">
        <f t="shared" si="14"/>
        <v>2000</v>
      </c>
    </row>
    <row r="141" spans="1:8" ht="16.5" customHeight="1" x14ac:dyDescent="0.25">
      <c r="A141" s="17" t="s">
        <v>107</v>
      </c>
      <c r="B141" s="57" t="s">
        <v>36</v>
      </c>
      <c r="C141" s="150">
        <v>1700</v>
      </c>
      <c r="D141" s="150">
        <v>0</v>
      </c>
      <c r="E141" s="145">
        <v>0</v>
      </c>
      <c r="F141" s="144">
        <f t="shared" si="13"/>
        <v>1700</v>
      </c>
      <c r="G141" s="144">
        <v>0</v>
      </c>
      <c r="H141" s="128">
        <f t="shared" si="14"/>
        <v>1700</v>
      </c>
    </row>
    <row r="142" spans="1:8" ht="26.25" customHeight="1" x14ac:dyDescent="0.25">
      <c r="A142" s="17" t="s">
        <v>108</v>
      </c>
      <c r="B142" s="57" t="s">
        <v>36</v>
      </c>
      <c r="C142" s="150">
        <v>85</v>
      </c>
      <c r="D142" s="150">
        <v>0</v>
      </c>
      <c r="E142" s="145">
        <v>0</v>
      </c>
      <c r="F142" s="144">
        <f t="shared" si="13"/>
        <v>85</v>
      </c>
      <c r="G142" s="144">
        <v>0</v>
      </c>
      <c r="H142" s="128">
        <f t="shared" si="14"/>
        <v>85</v>
      </c>
    </row>
    <row r="143" spans="1:8" ht="16.5" customHeight="1" x14ac:dyDescent="0.25">
      <c r="A143" s="17" t="s">
        <v>109</v>
      </c>
      <c r="B143" s="57" t="s">
        <v>36</v>
      </c>
      <c r="C143" s="150">
        <v>80</v>
      </c>
      <c r="D143" s="150">
        <v>0</v>
      </c>
      <c r="E143" s="145">
        <v>0</v>
      </c>
      <c r="F143" s="144">
        <f t="shared" si="13"/>
        <v>80</v>
      </c>
      <c r="G143" s="144">
        <v>0</v>
      </c>
      <c r="H143" s="128">
        <f t="shared" si="14"/>
        <v>80</v>
      </c>
    </row>
    <row r="144" spans="1:8" ht="16.5" customHeight="1" x14ac:dyDescent="0.25">
      <c r="A144" s="17" t="s">
        <v>110</v>
      </c>
      <c r="B144" s="57" t="s">
        <v>36</v>
      </c>
      <c r="C144" s="150">
        <v>1570</v>
      </c>
      <c r="D144" s="150">
        <v>0</v>
      </c>
      <c r="E144" s="145">
        <v>0</v>
      </c>
      <c r="F144" s="144">
        <f t="shared" si="13"/>
        <v>1570</v>
      </c>
      <c r="G144" s="144">
        <v>0</v>
      </c>
      <c r="H144" s="128">
        <f t="shared" si="14"/>
        <v>1570</v>
      </c>
    </row>
    <row r="145" spans="1:8" ht="17.25" customHeight="1" x14ac:dyDescent="0.25">
      <c r="A145" s="17" t="s">
        <v>111</v>
      </c>
      <c r="B145" s="57" t="s">
        <v>36</v>
      </c>
      <c r="C145" s="150">
        <v>1570</v>
      </c>
      <c r="D145" s="150">
        <v>0</v>
      </c>
      <c r="E145" s="145">
        <v>0</v>
      </c>
      <c r="F145" s="144">
        <f t="shared" si="13"/>
        <v>1570</v>
      </c>
      <c r="G145" s="144">
        <v>0</v>
      </c>
      <c r="H145" s="128">
        <f t="shared" si="14"/>
        <v>1570</v>
      </c>
    </row>
    <row r="146" spans="1:8" ht="15" customHeight="1" x14ac:dyDescent="0.25">
      <c r="A146" s="17" t="s">
        <v>112</v>
      </c>
      <c r="B146" s="57" t="s">
        <v>36</v>
      </c>
      <c r="C146" s="150">
        <v>500</v>
      </c>
      <c r="D146" s="150">
        <v>0</v>
      </c>
      <c r="E146" s="145">
        <v>0</v>
      </c>
      <c r="F146" s="144">
        <f t="shared" si="13"/>
        <v>500</v>
      </c>
      <c r="G146" s="144">
        <v>0</v>
      </c>
      <c r="H146" s="128">
        <f t="shared" si="14"/>
        <v>500</v>
      </c>
    </row>
    <row r="147" spans="1:8" ht="15" customHeight="1" x14ac:dyDescent="0.25">
      <c r="A147" s="58" t="s">
        <v>113</v>
      </c>
      <c r="B147" s="57" t="s">
        <v>114</v>
      </c>
      <c r="C147" s="150">
        <v>250</v>
      </c>
      <c r="D147" s="150">
        <v>0</v>
      </c>
      <c r="E147" s="145">
        <v>0</v>
      </c>
      <c r="F147" s="144">
        <f t="shared" si="13"/>
        <v>250</v>
      </c>
      <c r="G147" s="144">
        <v>0</v>
      </c>
      <c r="H147" s="128">
        <f t="shared" ref="H147:H218" si="15">SUM(F147:G147)</f>
        <v>250</v>
      </c>
    </row>
    <row r="148" spans="1:8" ht="15.75" customHeight="1" x14ac:dyDescent="0.25">
      <c r="A148" s="58" t="s">
        <v>115</v>
      </c>
      <c r="B148" s="57" t="s">
        <v>116</v>
      </c>
      <c r="C148" s="150">
        <v>500</v>
      </c>
      <c r="D148" s="150">
        <v>0</v>
      </c>
      <c r="E148" s="145">
        <v>0</v>
      </c>
      <c r="F148" s="144">
        <f t="shared" si="13"/>
        <v>500</v>
      </c>
      <c r="G148" s="144">
        <v>0</v>
      </c>
      <c r="H148" s="128">
        <f t="shared" si="15"/>
        <v>500</v>
      </c>
    </row>
    <row r="149" spans="1:8" ht="16.5" customHeight="1" x14ac:dyDescent="0.25">
      <c r="A149" s="58" t="s">
        <v>117</v>
      </c>
      <c r="B149" s="57" t="s">
        <v>118</v>
      </c>
      <c r="C149" s="150">
        <v>50</v>
      </c>
      <c r="D149" s="150">
        <v>0</v>
      </c>
      <c r="E149" s="145">
        <v>0</v>
      </c>
      <c r="F149" s="144">
        <f t="shared" si="13"/>
        <v>50</v>
      </c>
      <c r="G149" s="144">
        <v>0</v>
      </c>
      <c r="H149" s="128">
        <f t="shared" si="15"/>
        <v>50</v>
      </c>
    </row>
    <row r="150" spans="1:8" x14ac:dyDescent="0.25">
      <c r="A150" s="58" t="s">
        <v>119</v>
      </c>
      <c r="B150" s="57" t="s">
        <v>116</v>
      </c>
      <c r="C150" s="150">
        <v>1200</v>
      </c>
      <c r="D150" s="150">
        <v>0</v>
      </c>
      <c r="E150" s="145">
        <v>0</v>
      </c>
      <c r="F150" s="144">
        <f t="shared" ref="F150:F154" si="16">SUM(C150:E150)</f>
        <v>1200</v>
      </c>
      <c r="G150" s="144">
        <v>0</v>
      </c>
      <c r="H150" s="128">
        <f t="shared" si="15"/>
        <v>1200</v>
      </c>
    </row>
    <row r="151" spans="1:8" ht="14.25" customHeight="1" x14ac:dyDescent="0.25">
      <c r="A151" s="17" t="s">
        <v>120</v>
      </c>
      <c r="B151" s="57" t="s">
        <v>121</v>
      </c>
      <c r="C151" s="150">
        <v>650</v>
      </c>
      <c r="D151" s="150">
        <v>0</v>
      </c>
      <c r="E151" s="145">
        <v>0</v>
      </c>
      <c r="F151" s="144">
        <f t="shared" si="16"/>
        <v>650</v>
      </c>
      <c r="G151" s="144">
        <v>0</v>
      </c>
      <c r="H151" s="128">
        <f t="shared" si="15"/>
        <v>650</v>
      </c>
    </row>
    <row r="152" spans="1:8" ht="24.75" customHeight="1" x14ac:dyDescent="0.25">
      <c r="A152" s="69" t="s">
        <v>122</v>
      </c>
      <c r="B152" s="57" t="s">
        <v>36</v>
      </c>
      <c r="C152" s="150">
        <v>1570</v>
      </c>
      <c r="D152" s="150">
        <v>0</v>
      </c>
      <c r="E152" s="145">
        <v>0</v>
      </c>
      <c r="F152" s="144">
        <f t="shared" si="16"/>
        <v>1570</v>
      </c>
      <c r="G152" s="144">
        <v>0</v>
      </c>
      <c r="H152" s="128">
        <f t="shared" si="15"/>
        <v>1570</v>
      </c>
    </row>
    <row r="153" spans="1:8" ht="17.25" customHeight="1" x14ac:dyDescent="0.25">
      <c r="A153" s="69" t="s">
        <v>123</v>
      </c>
      <c r="B153" s="57" t="s">
        <v>36</v>
      </c>
      <c r="C153" s="150">
        <v>1570</v>
      </c>
      <c r="D153" s="150">
        <v>0</v>
      </c>
      <c r="E153" s="145">
        <v>0</v>
      </c>
      <c r="F153" s="144">
        <f t="shared" si="16"/>
        <v>1570</v>
      </c>
      <c r="G153" s="144">
        <v>0</v>
      </c>
      <c r="H153" s="128">
        <f t="shared" si="15"/>
        <v>1570</v>
      </c>
    </row>
    <row r="154" spans="1:8" ht="15.75" customHeight="1" thickBot="1" x14ac:dyDescent="0.3">
      <c r="A154" s="59" t="s">
        <v>124</v>
      </c>
      <c r="B154" s="48"/>
      <c r="C154" s="146">
        <v>56026.34</v>
      </c>
      <c r="D154" s="146">
        <f>-130+344.28</f>
        <v>214.27999999999997</v>
      </c>
      <c r="E154" s="147">
        <v>-7658.5</v>
      </c>
      <c r="F154" s="146">
        <f t="shared" si="16"/>
        <v>48582.119999999995</v>
      </c>
      <c r="G154" s="146">
        <f>-100-100-5</f>
        <v>-205</v>
      </c>
      <c r="H154" s="129">
        <f t="shared" si="15"/>
        <v>48377.119999999995</v>
      </c>
    </row>
    <row r="155" spans="1:8" ht="16.5" customHeight="1" thickBot="1" x14ac:dyDescent="0.3">
      <c r="A155" s="60" t="s">
        <v>125</v>
      </c>
      <c r="B155" s="54"/>
      <c r="C155" s="45">
        <f>SUM(C157:C168)</f>
        <v>325128</v>
      </c>
      <c r="D155" s="45">
        <f>SUM(D157:D168)</f>
        <v>47.550000000000004</v>
      </c>
      <c r="E155" s="102">
        <f>SUM(E157:E168)</f>
        <v>17777.62</v>
      </c>
      <c r="F155" s="45">
        <f>SUM(F157:F168)</f>
        <v>342953.17</v>
      </c>
      <c r="G155" s="45">
        <f>SUM(G157:G168)</f>
        <v>1190.1099999999999</v>
      </c>
      <c r="H155" s="137">
        <f>SUM(F155:G155)</f>
        <v>344143.27999999997</v>
      </c>
    </row>
    <row r="156" spans="1:8" ht="12.75" customHeight="1" x14ac:dyDescent="0.25">
      <c r="A156" s="61" t="s">
        <v>27</v>
      </c>
      <c r="B156" s="51"/>
      <c r="C156" s="16"/>
      <c r="D156" s="16"/>
      <c r="E156" s="93"/>
      <c r="F156" s="16"/>
      <c r="G156" s="16"/>
      <c r="H156" s="127"/>
    </row>
    <row r="157" spans="1:8" ht="15" customHeight="1" x14ac:dyDescent="0.25">
      <c r="A157" s="58" t="s">
        <v>30</v>
      </c>
      <c r="B157" s="53"/>
      <c r="C157" s="144">
        <v>71786</v>
      </c>
      <c r="D157" s="144">
        <f>45.24+2.31</f>
        <v>47.550000000000004</v>
      </c>
      <c r="E157" s="145">
        <v>10512</v>
      </c>
      <c r="F157" s="144">
        <f>SUM(C157:E157)</f>
        <v>82345.55</v>
      </c>
      <c r="G157" s="144">
        <f>9.11+1181</f>
        <v>1190.1099999999999</v>
      </c>
      <c r="H157" s="128">
        <f t="shared" si="15"/>
        <v>83535.66</v>
      </c>
    </row>
    <row r="158" spans="1:8" ht="15" customHeight="1" x14ac:dyDescent="0.25">
      <c r="A158" s="58" t="s">
        <v>126</v>
      </c>
      <c r="B158" s="57" t="s">
        <v>36</v>
      </c>
      <c r="C158" s="144">
        <v>132500</v>
      </c>
      <c r="D158" s="144">
        <v>0</v>
      </c>
      <c r="E158" s="145">
        <v>-132500</v>
      </c>
      <c r="F158" s="144">
        <f t="shared" ref="F158:F168" si="17">SUM(C158:E158)</f>
        <v>0</v>
      </c>
      <c r="G158" s="148">
        <v>0</v>
      </c>
      <c r="H158" s="135">
        <f t="shared" si="15"/>
        <v>0</v>
      </c>
    </row>
    <row r="159" spans="1:8" ht="15" customHeight="1" x14ac:dyDescent="0.25">
      <c r="A159" s="58" t="s">
        <v>127</v>
      </c>
      <c r="B159" s="57" t="s">
        <v>36</v>
      </c>
      <c r="C159" s="144">
        <v>25000</v>
      </c>
      <c r="D159" s="144">
        <v>0</v>
      </c>
      <c r="E159" s="145">
        <v>-25000</v>
      </c>
      <c r="F159" s="144">
        <f t="shared" si="17"/>
        <v>0</v>
      </c>
      <c r="G159" s="144">
        <v>0</v>
      </c>
      <c r="H159" s="128">
        <f t="shared" si="15"/>
        <v>0</v>
      </c>
    </row>
    <row r="160" spans="1:8" ht="15" customHeight="1" x14ac:dyDescent="0.25">
      <c r="A160" s="58" t="s">
        <v>274</v>
      </c>
      <c r="B160" s="57" t="s">
        <v>36</v>
      </c>
      <c r="C160" s="144">
        <v>0</v>
      </c>
      <c r="D160" s="144">
        <v>0</v>
      </c>
      <c r="E160" s="145">
        <v>137700</v>
      </c>
      <c r="F160" s="144">
        <f t="shared" si="17"/>
        <v>137700</v>
      </c>
      <c r="G160" s="144">
        <v>0</v>
      </c>
      <c r="H160" s="128">
        <f t="shared" si="15"/>
        <v>137700</v>
      </c>
    </row>
    <row r="161" spans="1:8" ht="15" customHeight="1" x14ac:dyDescent="0.25">
      <c r="A161" s="58" t="s">
        <v>275</v>
      </c>
      <c r="B161" s="57" t="s">
        <v>36</v>
      </c>
      <c r="C161" s="144">
        <v>0</v>
      </c>
      <c r="D161" s="144">
        <v>0</v>
      </c>
      <c r="E161" s="145">
        <v>26165.62</v>
      </c>
      <c r="F161" s="144">
        <f t="shared" si="17"/>
        <v>26165.62</v>
      </c>
      <c r="G161" s="144">
        <v>0</v>
      </c>
      <c r="H161" s="128">
        <f t="shared" si="15"/>
        <v>26165.62</v>
      </c>
    </row>
    <row r="162" spans="1:8" ht="15" customHeight="1" x14ac:dyDescent="0.25">
      <c r="A162" s="58" t="s">
        <v>128</v>
      </c>
      <c r="B162" s="57" t="s">
        <v>36</v>
      </c>
      <c r="C162" s="144">
        <v>228</v>
      </c>
      <c r="D162" s="144">
        <v>0</v>
      </c>
      <c r="E162" s="145">
        <v>0</v>
      </c>
      <c r="F162" s="144">
        <f t="shared" si="17"/>
        <v>228</v>
      </c>
      <c r="G162" s="144">
        <v>0</v>
      </c>
      <c r="H162" s="128">
        <f t="shared" si="15"/>
        <v>228</v>
      </c>
    </row>
    <row r="163" spans="1:8" ht="15" customHeight="1" x14ac:dyDescent="0.25">
      <c r="A163" s="58" t="s">
        <v>129</v>
      </c>
      <c r="B163" s="57" t="s">
        <v>36</v>
      </c>
      <c r="C163" s="144">
        <v>189</v>
      </c>
      <c r="D163" s="144">
        <v>0</v>
      </c>
      <c r="E163" s="145">
        <v>0</v>
      </c>
      <c r="F163" s="144">
        <f t="shared" si="17"/>
        <v>189</v>
      </c>
      <c r="G163" s="144">
        <v>0</v>
      </c>
      <c r="H163" s="128">
        <f t="shared" si="15"/>
        <v>189</v>
      </c>
    </row>
    <row r="164" spans="1:8" ht="15" customHeight="1" x14ac:dyDescent="0.25">
      <c r="A164" s="58" t="s">
        <v>130</v>
      </c>
      <c r="B164" s="57" t="s">
        <v>36</v>
      </c>
      <c r="C164" s="144">
        <v>1047</v>
      </c>
      <c r="D164" s="144">
        <v>0</v>
      </c>
      <c r="E164" s="145">
        <v>0</v>
      </c>
      <c r="F164" s="144">
        <f t="shared" si="17"/>
        <v>1047</v>
      </c>
      <c r="G164" s="144">
        <v>0</v>
      </c>
      <c r="H164" s="128">
        <f t="shared" si="15"/>
        <v>1047</v>
      </c>
    </row>
    <row r="165" spans="1:8" ht="15" customHeight="1" x14ac:dyDescent="0.25">
      <c r="A165" s="58" t="s">
        <v>131</v>
      </c>
      <c r="B165" s="57" t="s">
        <v>36</v>
      </c>
      <c r="C165" s="144">
        <v>277</v>
      </c>
      <c r="D165" s="144">
        <v>0</v>
      </c>
      <c r="E165" s="145">
        <v>0</v>
      </c>
      <c r="F165" s="144">
        <f t="shared" si="17"/>
        <v>277</v>
      </c>
      <c r="G165" s="144">
        <v>0</v>
      </c>
      <c r="H165" s="128">
        <f t="shared" si="15"/>
        <v>277</v>
      </c>
    </row>
    <row r="166" spans="1:8" ht="28.5" customHeight="1" x14ac:dyDescent="0.25">
      <c r="A166" s="17" t="s">
        <v>132</v>
      </c>
      <c r="B166" s="57" t="s">
        <v>36</v>
      </c>
      <c r="C166" s="144">
        <v>150</v>
      </c>
      <c r="D166" s="144">
        <v>0</v>
      </c>
      <c r="E166" s="145">
        <v>0</v>
      </c>
      <c r="F166" s="144">
        <f t="shared" si="17"/>
        <v>150</v>
      </c>
      <c r="G166" s="144">
        <v>0</v>
      </c>
      <c r="H166" s="128">
        <f t="shared" si="15"/>
        <v>150</v>
      </c>
    </row>
    <row r="167" spans="1:8" ht="28.5" customHeight="1" x14ac:dyDescent="0.25">
      <c r="A167" s="17" t="s">
        <v>133</v>
      </c>
      <c r="B167" s="57"/>
      <c r="C167" s="144">
        <v>2450</v>
      </c>
      <c r="D167" s="144">
        <v>0</v>
      </c>
      <c r="E167" s="145">
        <v>0</v>
      </c>
      <c r="F167" s="144">
        <f t="shared" si="17"/>
        <v>2450</v>
      </c>
      <c r="G167" s="144">
        <v>0</v>
      </c>
      <c r="H167" s="128">
        <f t="shared" si="15"/>
        <v>2450</v>
      </c>
    </row>
    <row r="168" spans="1:8" ht="15.75" customHeight="1" thickBot="1" x14ac:dyDescent="0.3">
      <c r="A168" s="20" t="s">
        <v>134</v>
      </c>
      <c r="B168" s="48"/>
      <c r="C168" s="22">
        <v>91501</v>
      </c>
      <c r="D168" s="22">
        <v>0</v>
      </c>
      <c r="E168" s="95">
        <v>900</v>
      </c>
      <c r="F168" s="22">
        <f t="shared" si="17"/>
        <v>92401</v>
      </c>
      <c r="G168" s="22">
        <v>0</v>
      </c>
      <c r="H168" s="129">
        <f t="shared" si="15"/>
        <v>92401</v>
      </c>
    </row>
    <row r="169" spans="1:8" ht="15" customHeight="1" thickBot="1" x14ac:dyDescent="0.3">
      <c r="A169" s="60" t="s">
        <v>135</v>
      </c>
      <c r="B169" s="54"/>
      <c r="C169" s="45">
        <f>SUM(C171:C177)</f>
        <v>152530.56</v>
      </c>
      <c r="D169" s="45">
        <f>SUM(D171:D177)</f>
        <v>81.66</v>
      </c>
      <c r="E169" s="102">
        <f>SUM(E171:E177)</f>
        <v>719</v>
      </c>
      <c r="F169" s="45">
        <f>SUM(F171:F177)</f>
        <v>153331.22</v>
      </c>
      <c r="G169" s="45">
        <f>SUM(G171:G177)</f>
        <v>-102.03999999999999</v>
      </c>
      <c r="H169" s="137">
        <f t="shared" si="15"/>
        <v>153229.18</v>
      </c>
    </row>
    <row r="170" spans="1:8" ht="12" customHeight="1" x14ac:dyDescent="0.25">
      <c r="A170" s="61" t="s">
        <v>27</v>
      </c>
      <c r="B170" s="51"/>
      <c r="C170" s="16"/>
      <c r="D170" s="16"/>
      <c r="E170" s="93"/>
      <c r="F170" s="16"/>
      <c r="G170" s="16"/>
      <c r="H170" s="127"/>
    </row>
    <row r="171" spans="1:8" ht="15" customHeight="1" x14ac:dyDescent="0.25">
      <c r="A171" s="58" t="s">
        <v>30</v>
      </c>
      <c r="B171" s="53"/>
      <c r="C171" s="144">
        <v>4590</v>
      </c>
      <c r="D171" s="144">
        <f>90.66</f>
        <v>90.66</v>
      </c>
      <c r="E171" s="145">
        <v>0</v>
      </c>
      <c r="F171" s="144">
        <f>SUM(C171:E171)</f>
        <v>4680.66</v>
      </c>
      <c r="G171" s="144">
        <f>11.96</f>
        <v>11.96</v>
      </c>
      <c r="H171" s="128">
        <f t="shared" si="15"/>
        <v>4692.62</v>
      </c>
    </row>
    <row r="172" spans="1:8" ht="27.75" customHeight="1" x14ac:dyDescent="0.25">
      <c r="A172" s="17" t="s">
        <v>136</v>
      </c>
      <c r="B172" s="57" t="s">
        <v>137</v>
      </c>
      <c r="C172" s="144">
        <v>350</v>
      </c>
      <c r="D172" s="144">
        <v>0</v>
      </c>
      <c r="E172" s="145">
        <v>0</v>
      </c>
      <c r="F172" s="144">
        <f t="shared" ref="F172:F177" si="18">SUM(C172:E172)</f>
        <v>350</v>
      </c>
      <c r="G172" s="144">
        <v>0</v>
      </c>
      <c r="H172" s="128">
        <f t="shared" si="15"/>
        <v>350</v>
      </c>
    </row>
    <row r="173" spans="1:8" ht="15" customHeight="1" x14ac:dyDescent="0.25">
      <c r="A173" s="17" t="s">
        <v>138</v>
      </c>
      <c r="B173" s="57" t="s">
        <v>139</v>
      </c>
      <c r="C173" s="144">
        <v>250</v>
      </c>
      <c r="D173" s="144">
        <v>0</v>
      </c>
      <c r="E173" s="145">
        <v>0</v>
      </c>
      <c r="F173" s="144">
        <f t="shared" si="18"/>
        <v>250</v>
      </c>
      <c r="G173" s="144">
        <v>0</v>
      </c>
      <c r="H173" s="128">
        <f t="shared" si="15"/>
        <v>250</v>
      </c>
    </row>
    <row r="174" spans="1:8" ht="15" customHeight="1" x14ac:dyDescent="0.25">
      <c r="A174" s="58" t="s">
        <v>140</v>
      </c>
      <c r="B174" s="70"/>
      <c r="C174" s="144">
        <v>10</v>
      </c>
      <c r="D174" s="144">
        <v>0</v>
      </c>
      <c r="E174" s="145">
        <v>0</v>
      </c>
      <c r="F174" s="144">
        <f t="shared" si="18"/>
        <v>10</v>
      </c>
      <c r="G174" s="144">
        <v>0</v>
      </c>
      <c r="H174" s="128">
        <f t="shared" si="15"/>
        <v>10</v>
      </c>
    </row>
    <row r="175" spans="1:8" ht="15" customHeight="1" x14ac:dyDescent="0.25">
      <c r="A175" s="58" t="s">
        <v>141</v>
      </c>
      <c r="B175" s="71" t="s">
        <v>45</v>
      </c>
      <c r="C175" s="144">
        <v>180</v>
      </c>
      <c r="D175" s="144">
        <v>0</v>
      </c>
      <c r="E175" s="145">
        <v>0</v>
      </c>
      <c r="F175" s="144">
        <f t="shared" si="18"/>
        <v>180</v>
      </c>
      <c r="G175" s="144">
        <v>0</v>
      </c>
      <c r="H175" s="128">
        <f t="shared" si="15"/>
        <v>180</v>
      </c>
    </row>
    <row r="176" spans="1:8" ht="15" customHeight="1" x14ac:dyDescent="0.25">
      <c r="A176" s="58" t="s">
        <v>142</v>
      </c>
      <c r="B176" s="71" t="s">
        <v>45</v>
      </c>
      <c r="C176" s="144">
        <v>810</v>
      </c>
      <c r="D176" s="144">
        <v>0</v>
      </c>
      <c r="E176" s="145">
        <v>0</v>
      </c>
      <c r="F176" s="144">
        <f t="shared" si="18"/>
        <v>810</v>
      </c>
      <c r="G176" s="144">
        <v>0</v>
      </c>
      <c r="H176" s="128">
        <f t="shared" si="15"/>
        <v>810</v>
      </c>
    </row>
    <row r="177" spans="1:8" ht="17.25" customHeight="1" thickBot="1" x14ac:dyDescent="0.3">
      <c r="A177" s="20" t="s">
        <v>143</v>
      </c>
      <c r="B177" s="72"/>
      <c r="C177" s="146">
        <v>146340.56</v>
      </c>
      <c r="D177" s="146">
        <f>-9</f>
        <v>-9</v>
      </c>
      <c r="E177" s="147">
        <v>719</v>
      </c>
      <c r="F177" s="146">
        <f t="shared" si="18"/>
        <v>147050.56</v>
      </c>
      <c r="G177" s="146">
        <f>-114</f>
        <v>-114</v>
      </c>
      <c r="H177" s="129">
        <f t="shared" si="15"/>
        <v>146936.56</v>
      </c>
    </row>
    <row r="178" spans="1:8" ht="16.5" customHeight="1" thickBot="1" x14ac:dyDescent="0.3">
      <c r="A178" s="60" t="s">
        <v>144</v>
      </c>
      <c r="B178" s="54"/>
      <c r="C178" s="45">
        <f>SUM(C180:C221)</f>
        <v>112053</v>
      </c>
      <c r="D178" s="45">
        <f>SUM(D180:D221)</f>
        <v>0</v>
      </c>
      <c r="E178" s="102">
        <f>SUM(E180:E221)</f>
        <v>6135</v>
      </c>
      <c r="F178" s="45">
        <f>SUM(F180:F221)</f>
        <v>118188</v>
      </c>
      <c r="G178" s="45">
        <f>SUM(G180:G221)</f>
        <v>58129</v>
      </c>
      <c r="H178" s="137">
        <f t="shared" si="15"/>
        <v>176317</v>
      </c>
    </row>
    <row r="179" spans="1:8" ht="15.75" customHeight="1" x14ac:dyDescent="0.25">
      <c r="A179" s="61" t="s">
        <v>27</v>
      </c>
      <c r="B179" s="51"/>
      <c r="C179" s="16"/>
      <c r="D179" s="16"/>
      <c r="E179" s="93"/>
      <c r="F179" s="16"/>
      <c r="G179" s="16"/>
      <c r="H179" s="127"/>
    </row>
    <row r="180" spans="1:8" ht="15" customHeight="1" x14ac:dyDescent="0.25">
      <c r="A180" s="17" t="s">
        <v>145</v>
      </c>
      <c r="B180" s="53" t="s">
        <v>146</v>
      </c>
      <c r="C180" s="151">
        <v>850</v>
      </c>
      <c r="D180" s="151">
        <v>0</v>
      </c>
      <c r="E180" s="145">
        <v>0</v>
      </c>
      <c r="F180" s="144">
        <f>SUM(C180:E180)</f>
        <v>850</v>
      </c>
      <c r="G180" s="144">
        <v>0</v>
      </c>
      <c r="H180" s="128">
        <f t="shared" si="15"/>
        <v>850</v>
      </c>
    </row>
    <row r="181" spans="1:8" ht="16.5" customHeight="1" x14ac:dyDescent="0.25">
      <c r="A181" s="17" t="s">
        <v>147</v>
      </c>
      <c r="B181" s="57" t="s">
        <v>148</v>
      </c>
      <c r="C181" s="144">
        <v>17000</v>
      </c>
      <c r="D181" s="144">
        <v>0</v>
      </c>
      <c r="E181" s="145">
        <v>0</v>
      </c>
      <c r="F181" s="144">
        <f t="shared" ref="F181:F221" si="19">SUM(C181:E181)</f>
        <v>17000</v>
      </c>
      <c r="G181" s="146">
        <v>0</v>
      </c>
      <c r="H181" s="135">
        <f t="shared" si="15"/>
        <v>17000</v>
      </c>
    </row>
    <row r="182" spans="1:8" ht="25.5" customHeight="1" x14ac:dyDescent="0.25">
      <c r="A182" s="17" t="s">
        <v>149</v>
      </c>
      <c r="B182" s="57" t="s">
        <v>150</v>
      </c>
      <c r="C182" s="144">
        <v>1000</v>
      </c>
      <c r="D182" s="144">
        <v>0</v>
      </c>
      <c r="E182" s="145">
        <v>0</v>
      </c>
      <c r="F182" s="144">
        <f t="shared" si="19"/>
        <v>1000</v>
      </c>
      <c r="G182" s="144">
        <v>0</v>
      </c>
      <c r="H182" s="128">
        <f t="shared" si="15"/>
        <v>1000</v>
      </c>
    </row>
    <row r="183" spans="1:8" ht="27" customHeight="1" x14ac:dyDescent="0.25">
      <c r="A183" s="17" t="s">
        <v>151</v>
      </c>
      <c r="B183" s="57" t="s">
        <v>152</v>
      </c>
      <c r="C183" s="144">
        <v>1600</v>
      </c>
      <c r="D183" s="144">
        <v>0</v>
      </c>
      <c r="E183" s="145">
        <v>0</v>
      </c>
      <c r="F183" s="144">
        <f t="shared" si="19"/>
        <v>1600</v>
      </c>
      <c r="G183" s="144">
        <v>0</v>
      </c>
      <c r="H183" s="128">
        <f t="shared" si="15"/>
        <v>1600</v>
      </c>
    </row>
    <row r="184" spans="1:8" ht="40.5" customHeight="1" x14ac:dyDescent="0.25">
      <c r="A184" s="17" t="s">
        <v>153</v>
      </c>
      <c r="B184" s="57" t="s">
        <v>36</v>
      </c>
      <c r="C184" s="150">
        <v>11900</v>
      </c>
      <c r="D184" s="150">
        <v>0</v>
      </c>
      <c r="E184" s="145">
        <v>0</v>
      </c>
      <c r="F184" s="144">
        <f t="shared" si="19"/>
        <v>11900</v>
      </c>
      <c r="G184" s="144">
        <v>0</v>
      </c>
      <c r="H184" s="128">
        <f t="shared" si="15"/>
        <v>11900</v>
      </c>
    </row>
    <row r="185" spans="1:8" ht="15.75" customHeight="1" x14ac:dyDescent="0.25">
      <c r="A185" s="17" t="s">
        <v>322</v>
      </c>
      <c r="B185" s="57" t="s">
        <v>36</v>
      </c>
      <c r="C185" s="150">
        <v>0</v>
      </c>
      <c r="D185" s="150"/>
      <c r="E185" s="145"/>
      <c r="F185" s="144">
        <v>0</v>
      </c>
      <c r="G185" s="144">
        <f>5004</f>
        <v>5004</v>
      </c>
      <c r="H185" s="128">
        <f>SUM(F185:G185)</f>
        <v>5004</v>
      </c>
    </row>
    <row r="186" spans="1:8" ht="15" customHeight="1" x14ac:dyDescent="0.25">
      <c r="A186" s="58" t="s">
        <v>154</v>
      </c>
      <c r="B186" s="57" t="s">
        <v>36</v>
      </c>
      <c r="C186" s="150">
        <v>6620</v>
      </c>
      <c r="D186" s="150">
        <v>0</v>
      </c>
      <c r="E186" s="145">
        <v>0</v>
      </c>
      <c r="F186" s="144">
        <f t="shared" si="19"/>
        <v>6620</v>
      </c>
      <c r="G186" s="144">
        <v>0</v>
      </c>
      <c r="H186" s="128">
        <f t="shared" si="15"/>
        <v>6620</v>
      </c>
    </row>
    <row r="187" spans="1:8" ht="42" customHeight="1" x14ac:dyDescent="0.25">
      <c r="A187" s="17" t="s">
        <v>155</v>
      </c>
      <c r="B187" s="57" t="s">
        <v>36</v>
      </c>
      <c r="C187" s="150">
        <v>18705</v>
      </c>
      <c r="D187" s="150">
        <v>0</v>
      </c>
      <c r="E187" s="145">
        <v>0</v>
      </c>
      <c r="F187" s="144">
        <f t="shared" si="19"/>
        <v>18705</v>
      </c>
      <c r="G187" s="144">
        <v>0</v>
      </c>
      <c r="H187" s="128">
        <f t="shared" si="15"/>
        <v>18705</v>
      </c>
    </row>
    <row r="188" spans="1:8" ht="17.25" customHeight="1" x14ac:dyDescent="0.25">
      <c r="A188" s="17" t="s">
        <v>325</v>
      </c>
      <c r="B188" s="57" t="s">
        <v>36</v>
      </c>
      <c r="C188" s="150">
        <v>0</v>
      </c>
      <c r="D188" s="150"/>
      <c r="E188" s="145"/>
      <c r="F188" s="144">
        <v>0</v>
      </c>
      <c r="G188" s="144">
        <f>25334</f>
        <v>25334</v>
      </c>
      <c r="H188" s="128">
        <f>SUM(F188:G188)</f>
        <v>25334</v>
      </c>
    </row>
    <row r="189" spans="1:8" ht="52.5" customHeight="1" x14ac:dyDescent="0.25">
      <c r="A189" s="17" t="s">
        <v>156</v>
      </c>
      <c r="B189" s="57" t="s">
        <v>36</v>
      </c>
      <c r="C189" s="150">
        <v>14028</v>
      </c>
      <c r="D189" s="150">
        <v>0</v>
      </c>
      <c r="E189" s="145">
        <v>0</v>
      </c>
      <c r="F189" s="144">
        <f t="shared" si="19"/>
        <v>14028</v>
      </c>
      <c r="G189" s="144">
        <v>0</v>
      </c>
      <c r="H189" s="128">
        <f t="shared" si="15"/>
        <v>14028</v>
      </c>
    </row>
    <row r="190" spans="1:8" ht="18" customHeight="1" x14ac:dyDescent="0.25">
      <c r="A190" s="17" t="s">
        <v>324</v>
      </c>
      <c r="B190" s="57" t="s">
        <v>36</v>
      </c>
      <c r="C190" s="150">
        <v>0</v>
      </c>
      <c r="D190" s="150"/>
      <c r="E190" s="145"/>
      <c r="F190" s="144">
        <v>0</v>
      </c>
      <c r="G190" s="144">
        <f>15553</f>
        <v>15553</v>
      </c>
      <c r="H190" s="128">
        <f>SUM(F190:G190)</f>
        <v>15553</v>
      </c>
    </row>
    <row r="191" spans="1:8" ht="40.5" customHeight="1" x14ac:dyDescent="0.25">
      <c r="A191" s="17" t="s">
        <v>157</v>
      </c>
      <c r="B191" s="57" t="s">
        <v>36</v>
      </c>
      <c r="C191" s="150">
        <v>12000</v>
      </c>
      <c r="D191" s="150">
        <v>0</v>
      </c>
      <c r="E191" s="145">
        <v>0</v>
      </c>
      <c r="F191" s="144">
        <f t="shared" si="19"/>
        <v>12000</v>
      </c>
      <c r="G191" s="144">
        <v>0</v>
      </c>
      <c r="H191" s="128">
        <f t="shared" si="15"/>
        <v>12000</v>
      </c>
    </row>
    <row r="192" spans="1:8" ht="15" customHeight="1" x14ac:dyDescent="0.25">
      <c r="A192" s="17" t="s">
        <v>323</v>
      </c>
      <c r="B192" s="57" t="s">
        <v>36</v>
      </c>
      <c r="C192" s="150">
        <v>0</v>
      </c>
      <c r="D192" s="150"/>
      <c r="E192" s="145"/>
      <c r="F192" s="144">
        <v>0</v>
      </c>
      <c r="G192" s="144">
        <f>5502</f>
        <v>5502</v>
      </c>
      <c r="H192" s="128">
        <f>SUM(F192:G192)</f>
        <v>5502</v>
      </c>
    </row>
    <row r="193" spans="1:8" ht="54" customHeight="1" x14ac:dyDescent="0.25">
      <c r="A193" s="17" t="s">
        <v>158</v>
      </c>
      <c r="B193" s="57" t="s">
        <v>36</v>
      </c>
      <c r="C193" s="150">
        <v>11200</v>
      </c>
      <c r="D193" s="150">
        <v>0</v>
      </c>
      <c r="E193" s="145">
        <v>0</v>
      </c>
      <c r="F193" s="144">
        <f t="shared" si="19"/>
        <v>11200</v>
      </c>
      <c r="G193" s="144">
        <v>0</v>
      </c>
      <c r="H193" s="128">
        <f t="shared" si="15"/>
        <v>11200</v>
      </c>
    </row>
    <row r="194" spans="1:8" ht="18.75" customHeight="1" x14ac:dyDescent="0.25">
      <c r="A194" s="17" t="s">
        <v>326</v>
      </c>
      <c r="B194" s="57" t="s">
        <v>36</v>
      </c>
      <c r="C194" s="150">
        <v>0</v>
      </c>
      <c r="D194" s="150"/>
      <c r="E194" s="145"/>
      <c r="F194" s="144">
        <v>0</v>
      </c>
      <c r="G194" s="144">
        <f>6736</f>
        <v>6736</v>
      </c>
      <c r="H194" s="128">
        <f>SUM(F194:G194)</f>
        <v>6736</v>
      </c>
    </row>
    <row r="195" spans="1:8" ht="16.5" customHeight="1" x14ac:dyDescent="0.25">
      <c r="A195" s="17" t="s">
        <v>312</v>
      </c>
      <c r="B195" s="57" t="s">
        <v>264</v>
      </c>
      <c r="C195" s="150">
        <v>0</v>
      </c>
      <c r="D195" s="150">
        <f>20</f>
        <v>20</v>
      </c>
      <c r="E195" s="145">
        <v>0</v>
      </c>
      <c r="F195" s="144">
        <f>SUM(C195:E195)</f>
        <v>20</v>
      </c>
      <c r="G195" s="144">
        <v>0</v>
      </c>
      <c r="H195" s="128">
        <f t="shared" si="15"/>
        <v>20</v>
      </c>
    </row>
    <row r="196" spans="1:8" ht="15" customHeight="1" x14ac:dyDescent="0.25">
      <c r="A196" s="17" t="s">
        <v>159</v>
      </c>
      <c r="B196" s="57"/>
      <c r="C196" s="150">
        <v>4.5</v>
      </c>
      <c r="D196" s="150">
        <v>0</v>
      </c>
      <c r="E196" s="145">
        <v>0</v>
      </c>
      <c r="F196" s="144">
        <f t="shared" si="19"/>
        <v>4.5</v>
      </c>
      <c r="G196" s="144">
        <v>0</v>
      </c>
      <c r="H196" s="128">
        <f t="shared" si="15"/>
        <v>4.5</v>
      </c>
    </row>
    <row r="197" spans="1:8" ht="15" customHeight="1" x14ac:dyDescent="0.25">
      <c r="A197" s="17" t="s">
        <v>160</v>
      </c>
      <c r="B197" s="57" t="s">
        <v>121</v>
      </c>
      <c r="C197" s="150">
        <v>20</v>
      </c>
      <c r="D197" s="150">
        <v>0</v>
      </c>
      <c r="E197" s="145">
        <v>0</v>
      </c>
      <c r="F197" s="144">
        <f t="shared" si="19"/>
        <v>20</v>
      </c>
      <c r="G197" s="144">
        <v>0</v>
      </c>
      <c r="H197" s="128">
        <f t="shared" si="15"/>
        <v>20</v>
      </c>
    </row>
    <row r="198" spans="1:8" ht="15" customHeight="1" x14ac:dyDescent="0.25">
      <c r="A198" s="17" t="s">
        <v>161</v>
      </c>
      <c r="B198" s="57" t="s">
        <v>121</v>
      </c>
      <c r="C198" s="150">
        <v>10</v>
      </c>
      <c r="D198" s="150">
        <v>0</v>
      </c>
      <c r="E198" s="145">
        <v>0</v>
      </c>
      <c r="F198" s="144">
        <f t="shared" si="19"/>
        <v>10</v>
      </c>
      <c r="G198" s="144">
        <v>0</v>
      </c>
      <c r="H198" s="128">
        <f t="shared" si="15"/>
        <v>10</v>
      </c>
    </row>
    <row r="199" spans="1:8" ht="15" customHeight="1" x14ac:dyDescent="0.25">
      <c r="A199" s="58" t="s">
        <v>162</v>
      </c>
      <c r="B199" s="57" t="s">
        <v>121</v>
      </c>
      <c r="C199" s="150">
        <v>70</v>
      </c>
      <c r="D199" s="150">
        <v>0</v>
      </c>
      <c r="E199" s="145">
        <v>0</v>
      </c>
      <c r="F199" s="144">
        <f t="shared" si="19"/>
        <v>70</v>
      </c>
      <c r="G199" s="144">
        <v>0</v>
      </c>
      <c r="H199" s="128">
        <f t="shared" si="15"/>
        <v>70</v>
      </c>
    </row>
    <row r="200" spans="1:8" ht="15" customHeight="1" x14ac:dyDescent="0.25">
      <c r="A200" s="58" t="s">
        <v>163</v>
      </c>
      <c r="B200" s="57" t="s">
        <v>36</v>
      </c>
      <c r="C200" s="150">
        <v>1050</v>
      </c>
      <c r="D200" s="150">
        <v>0</v>
      </c>
      <c r="E200" s="145">
        <v>0</v>
      </c>
      <c r="F200" s="144">
        <f t="shared" si="19"/>
        <v>1050</v>
      </c>
      <c r="G200" s="148">
        <v>0</v>
      </c>
      <c r="H200" s="135">
        <f t="shared" si="15"/>
        <v>1050</v>
      </c>
    </row>
    <row r="201" spans="1:8" ht="15" customHeight="1" x14ac:dyDescent="0.25">
      <c r="A201" s="58" t="s">
        <v>164</v>
      </c>
      <c r="B201" s="57" t="s">
        <v>36</v>
      </c>
      <c r="C201" s="150">
        <v>4000</v>
      </c>
      <c r="D201" s="150">
        <v>0</v>
      </c>
      <c r="E201" s="145">
        <v>0</v>
      </c>
      <c r="F201" s="144">
        <f t="shared" si="19"/>
        <v>4000</v>
      </c>
      <c r="G201" s="144">
        <v>0</v>
      </c>
      <c r="H201" s="128">
        <f t="shared" si="15"/>
        <v>4000</v>
      </c>
    </row>
    <row r="202" spans="1:8" ht="15" customHeight="1" x14ac:dyDescent="0.25">
      <c r="A202" s="58" t="s">
        <v>165</v>
      </c>
      <c r="B202" s="57" t="s">
        <v>121</v>
      </c>
      <c r="C202" s="150">
        <v>80</v>
      </c>
      <c r="D202" s="150">
        <v>0</v>
      </c>
      <c r="E202" s="145">
        <v>0</v>
      </c>
      <c r="F202" s="144">
        <f t="shared" si="19"/>
        <v>80</v>
      </c>
      <c r="G202" s="144">
        <v>0</v>
      </c>
      <c r="H202" s="128">
        <f t="shared" si="15"/>
        <v>80</v>
      </c>
    </row>
    <row r="203" spans="1:8" ht="15" customHeight="1" x14ac:dyDescent="0.25">
      <c r="A203" s="58" t="s">
        <v>166</v>
      </c>
      <c r="B203" s="57" t="s">
        <v>36</v>
      </c>
      <c r="C203" s="150">
        <v>50</v>
      </c>
      <c r="D203" s="150">
        <v>0</v>
      </c>
      <c r="E203" s="145">
        <v>0</v>
      </c>
      <c r="F203" s="144">
        <f t="shared" si="19"/>
        <v>50</v>
      </c>
      <c r="G203" s="144">
        <v>0</v>
      </c>
      <c r="H203" s="128">
        <f t="shared" si="15"/>
        <v>50</v>
      </c>
    </row>
    <row r="204" spans="1:8" ht="15" customHeight="1" x14ac:dyDescent="0.25">
      <c r="A204" s="58" t="s">
        <v>167</v>
      </c>
      <c r="B204" s="57" t="s">
        <v>36</v>
      </c>
      <c r="C204" s="150">
        <v>100</v>
      </c>
      <c r="D204" s="150">
        <v>0</v>
      </c>
      <c r="E204" s="145">
        <v>0</v>
      </c>
      <c r="F204" s="144">
        <f t="shared" si="19"/>
        <v>100</v>
      </c>
      <c r="G204" s="144">
        <v>0</v>
      </c>
      <c r="H204" s="128">
        <f t="shared" si="15"/>
        <v>100</v>
      </c>
    </row>
    <row r="205" spans="1:8" ht="15" customHeight="1" x14ac:dyDescent="0.25">
      <c r="A205" s="58" t="s">
        <v>168</v>
      </c>
      <c r="B205" s="57" t="s">
        <v>36</v>
      </c>
      <c r="C205" s="150">
        <v>650</v>
      </c>
      <c r="D205" s="150">
        <v>0</v>
      </c>
      <c r="E205" s="145">
        <v>0</v>
      </c>
      <c r="F205" s="144">
        <f t="shared" si="19"/>
        <v>650</v>
      </c>
      <c r="G205" s="144">
        <v>0</v>
      </c>
      <c r="H205" s="128">
        <f t="shared" si="15"/>
        <v>650</v>
      </c>
    </row>
    <row r="206" spans="1:8" ht="15" customHeight="1" x14ac:dyDescent="0.25">
      <c r="A206" s="69" t="s">
        <v>169</v>
      </c>
      <c r="B206" s="57" t="s">
        <v>121</v>
      </c>
      <c r="C206" s="150">
        <v>40</v>
      </c>
      <c r="D206" s="150">
        <v>0</v>
      </c>
      <c r="E206" s="145">
        <v>0</v>
      </c>
      <c r="F206" s="144">
        <f t="shared" si="19"/>
        <v>40</v>
      </c>
      <c r="G206" s="144">
        <v>0</v>
      </c>
      <c r="H206" s="128">
        <f t="shared" si="15"/>
        <v>40</v>
      </c>
    </row>
    <row r="207" spans="1:8" ht="15" customHeight="1" x14ac:dyDescent="0.25">
      <c r="A207" s="17" t="s">
        <v>170</v>
      </c>
      <c r="B207" s="57" t="s">
        <v>121</v>
      </c>
      <c r="C207" s="150">
        <v>20</v>
      </c>
      <c r="D207" s="150">
        <v>0</v>
      </c>
      <c r="E207" s="145">
        <v>0</v>
      </c>
      <c r="F207" s="144">
        <f t="shared" si="19"/>
        <v>20</v>
      </c>
      <c r="G207" s="144">
        <v>0</v>
      </c>
      <c r="H207" s="128">
        <f t="shared" si="15"/>
        <v>20</v>
      </c>
    </row>
    <row r="208" spans="1:8" ht="41.25" customHeight="1" x14ac:dyDescent="0.25">
      <c r="A208" s="69" t="s">
        <v>171</v>
      </c>
      <c r="B208" s="57" t="s">
        <v>114</v>
      </c>
      <c r="C208" s="150">
        <v>22</v>
      </c>
      <c r="D208" s="150">
        <v>0</v>
      </c>
      <c r="E208" s="145">
        <v>0</v>
      </c>
      <c r="F208" s="144">
        <f t="shared" si="19"/>
        <v>22</v>
      </c>
      <c r="G208" s="144">
        <v>0</v>
      </c>
      <c r="H208" s="128">
        <f t="shared" si="15"/>
        <v>22</v>
      </c>
    </row>
    <row r="209" spans="1:8" ht="15" customHeight="1" x14ac:dyDescent="0.25">
      <c r="A209" s="69" t="s">
        <v>172</v>
      </c>
      <c r="B209" s="57" t="s">
        <v>121</v>
      </c>
      <c r="C209" s="150">
        <v>10</v>
      </c>
      <c r="D209" s="150">
        <v>0</v>
      </c>
      <c r="E209" s="145">
        <v>0</v>
      </c>
      <c r="F209" s="144">
        <f t="shared" si="19"/>
        <v>10</v>
      </c>
      <c r="G209" s="144">
        <v>0</v>
      </c>
      <c r="H209" s="128">
        <f t="shared" si="15"/>
        <v>10</v>
      </c>
    </row>
    <row r="210" spans="1:8" ht="15" customHeight="1" x14ac:dyDescent="0.25">
      <c r="A210" s="69" t="s">
        <v>173</v>
      </c>
      <c r="B210" s="57" t="s">
        <v>36</v>
      </c>
      <c r="C210" s="150">
        <v>50</v>
      </c>
      <c r="D210" s="150">
        <v>0</v>
      </c>
      <c r="E210" s="145">
        <v>0</v>
      </c>
      <c r="F210" s="144">
        <f t="shared" si="19"/>
        <v>50</v>
      </c>
      <c r="G210" s="144">
        <v>0</v>
      </c>
      <c r="H210" s="128">
        <f t="shared" si="15"/>
        <v>50</v>
      </c>
    </row>
    <row r="211" spans="1:8" ht="15" customHeight="1" x14ac:dyDescent="0.25">
      <c r="A211" s="69" t="s">
        <v>318</v>
      </c>
      <c r="B211" s="57" t="s">
        <v>36</v>
      </c>
      <c r="C211" s="150">
        <v>0</v>
      </c>
      <c r="D211" s="150"/>
      <c r="E211" s="145"/>
      <c r="F211" s="144">
        <v>0</v>
      </c>
      <c r="G211" s="144">
        <f>250</f>
        <v>250</v>
      </c>
      <c r="H211" s="128">
        <f>SUM(F211:G211)</f>
        <v>250</v>
      </c>
    </row>
    <row r="212" spans="1:8" ht="15" customHeight="1" x14ac:dyDescent="0.25">
      <c r="A212" s="69" t="s">
        <v>330</v>
      </c>
      <c r="B212" s="57" t="s">
        <v>36</v>
      </c>
      <c r="C212" s="150">
        <v>0</v>
      </c>
      <c r="D212" s="150"/>
      <c r="E212" s="145"/>
      <c r="F212" s="144">
        <v>0</v>
      </c>
      <c r="G212" s="144">
        <f>20</f>
        <v>20</v>
      </c>
      <c r="H212" s="128">
        <f>SUM(F212:G212)</f>
        <v>20</v>
      </c>
    </row>
    <row r="213" spans="1:8" ht="15" customHeight="1" x14ac:dyDescent="0.25">
      <c r="A213" s="69" t="s">
        <v>331</v>
      </c>
      <c r="B213" s="57" t="s">
        <v>332</v>
      </c>
      <c r="C213" s="150">
        <v>0</v>
      </c>
      <c r="D213" s="150"/>
      <c r="E213" s="145"/>
      <c r="F213" s="144">
        <v>0</v>
      </c>
      <c r="G213" s="144">
        <f>33</f>
        <v>33</v>
      </c>
      <c r="H213" s="128">
        <f>SUM(F213:G213)</f>
        <v>33</v>
      </c>
    </row>
    <row r="214" spans="1:8" ht="15.75" customHeight="1" x14ac:dyDescent="0.25">
      <c r="A214" s="17" t="s">
        <v>174</v>
      </c>
      <c r="B214" s="57" t="s">
        <v>36</v>
      </c>
      <c r="C214" s="150">
        <v>668</v>
      </c>
      <c r="D214" s="150">
        <v>0</v>
      </c>
      <c r="E214" s="145">
        <v>0</v>
      </c>
      <c r="F214" s="144">
        <f t="shared" si="19"/>
        <v>668</v>
      </c>
      <c r="G214" s="144">
        <v>0</v>
      </c>
      <c r="H214" s="128">
        <f t="shared" si="15"/>
        <v>668</v>
      </c>
    </row>
    <row r="215" spans="1:8" ht="15" customHeight="1" x14ac:dyDescent="0.25">
      <c r="A215" s="17" t="s">
        <v>175</v>
      </c>
      <c r="B215" s="57" t="s">
        <v>36</v>
      </c>
      <c r="C215" s="150">
        <v>526</v>
      </c>
      <c r="D215" s="150">
        <v>0</v>
      </c>
      <c r="E215" s="145">
        <v>0</v>
      </c>
      <c r="F215" s="144">
        <f t="shared" si="19"/>
        <v>526</v>
      </c>
      <c r="G215" s="144">
        <v>0</v>
      </c>
      <c r="H215" s="128">
        <f t="shared" si="15"/>
        <v>526</v>
      </c>
    </row>
    <row r="216" spans="1:8" ht="15" customHeight="1" x14ac:dyDescent="0.25">
      <c r="A216" s="17" t="s">
        <v>176</v>
      </c>
      <c r="B216" s="57" t="s">
        <v>36</v>
      </c>
      <c r="C216" s="150">
        <v>110</v>
      </c>
      <c r="D216" s="150">
        <v>0</v>
      </c>
      <c r="E216" s="145">
        <v>0</v>
      </c>
      <c r="F216" s="144">
        <f t="shared" si="19"/>
        <v>110</v>
      </c>
      <c r="G216" s="144">
        <v>0</v>
      </c>
      <c r="H216" s="128">
        <f t="shared" si="15"/>
        <v>110</v>
      </c>
    </row>
    <row r="217" spans="1:8" ht="15" customHeight="1" x14ac:dyDescent="0.25">
      <c r="A217" s="17" t="s">
        <v>177</v>
      </c>
      <c r="B217" s="57" t="s">
        <v>36</v>
      </c>
      <c r="C217" s="150">
        <v>476</v>
      </c>
      <c r="D217" s="150">
        <v>0</v>
      </c>
      <c r="E217" s="145">
        <v>0</v>
      </c>
      <c r="F217" s="144">
        <f t="shared" si="19"/>
        <v>476</v>
      </c>
      <c r="G217" s="144">
        <v>0</v>
      </c>
      <c r="H217" s="128">
        <f t="shared" si="15"/>
        <v>476</v>
      </c>
    </row>
    <row r="218" spans="1:8" ht="15" customHeight="1" x14ac:dyDescent="0.25">
      <c r="A218" s="17" t="s">
        <v>178</v>
      </c>
      <c r="B218" s="57" t="s">
        <v>36</v>
      </c>
      <c r="C218" s="150">
        <v>100</v>
      </c>
      <c r="D218" s="150">
        <v>0</v>
      </c>
      <c r="E218" s="145">
        <v>0</v>
      </c>
      <c r="F218" s="144">
        <f t="shared" si="19"/>
        <v>100</v>
      </c>
      <c r="G218" s="144">
        <v>50</v>
      </c>
      <c r="H218" s="128">
        <f t="shared" si="15"/>
        <v>150</v>
      </c>
    </row>
    <row r="219" spans="1:8" ht="13.5" customHeight="1" x14ac:dyDescent="0.25">
      <c r="A219" s="34" t="s">
        <v>179</v>
      </c>
      <c r="B219" s="57" t="s">
        <v>36</v>
      </c>
      <c r="C219" s="150">
        <v>200</v>
      </c>
      <c r="D219" s="150">
        <v>0</v>
      </c>
      <c r="E219" s="145">
        <v>0</v>
      </c>
      <c r="F219" s="144">
        <f t="shared" si="19"/>
        <v>200</v>
      </c>
      <c r="G219" s="144">
        <v>0</v>
      </c>
      <c r="H219" s="128">
        <f t="shared" ref="H219:H282" si="20">SUM(F219:G219)</f>
        <v>200</v>
      </c>
    </row>
    <row r="220" spans="1:8" ht="15" customHeight="1" x14ac:dyDescent="0.25">
      <c r="A220" s="17" t="s">
        <v>180</v>
      </c>
      <c r="B220" s="57" t="s">
        <v>36</v>
      </c>
      <c r="C220" s="150">
        <v>100</v>
      </c>
      <c r="D220" s="150">
        <v>0</v>
      </c>
      <c r="E220" s="145">
        <v>0</v>
      </c>
      <c r="F220" s="144">
        <f t="shared" si="19"/>
        <v>100</v>
      </c>
      <c r="G220" s="144">
        <v>0</v>
      </c>
      <c r="H220" s="128">
        <f t="shared" si="20"/>
        <v>100</v>
      </c>
    </row>
    <row r="221" spans="1:8" ht="16.5" customHeight="1" thickBot="1" x14ac:dyDescent="0.3">
      <c r="A221" s="59" t="s">
        <v>181</v>
      </c>
      <c r="B221" s="115"/>
      <c r="C221" s="157">
        <v>8793.5</v>
      </c>
      <c r="D221" s="157">
        <f>-20</f>
        <v>-20</v>
      </c>
      <c r="E221" s="147">
        <v>6135</v>
      </c>
      <c r="F221" s="146">
        <f t="shared" si="19"/>
        <v>14908.5</v>
      </c>
      <c r="G221" s="146">
        <f>-250-103</f>
        <v>-353</v>
      </c>
      <c r="H221" s="129">
        <f t="shared" si="20"/>
        <v>14555.5</v>
      </c>
    </row>
    <row r="222" spans="1:8" ht="16.5" customHeight="1" thickBot="1" x14ac:dyDescent="0.3">
      <c r="A222" s="60" t="s">
        <v>182</v>
      </c>
      <c r="B222" s="54"/>
      <c r="C222" s="45">
        <f>SUM(C224:C224)</f>
        <v>300</v>
      </c>
      <c r="D222" s="45">
        <f>SUM(D224)</f>
        <v>4619</v>
      </c>
      <c r="E222" s="102">
        <f>SUM(E224)</f>
        <v>486</v>
      </c>
      <c r="F222" s="45">
        <f>SUM(F224)</f>
        <v>5405</v>
      </c>
      <c r="G222" s="45">
        <f>SUM(G224)</f>
        <v>-599</v>
      </c>
      <c r="H222" s="137">
        <f t="shared" si="20"/>
        <v>4806</v>
      </c>
    </row>
    <row r="223" spans="1:8" ht="12.75" customHeight="1" x14ac:dyDescent="0.25">
      <c r="A223" s="61" t="s">
        <v>27</v>
      </c>
      <c r="B223" s="51"/>
      <c r="C223" s="32"/>
      <c r="D223" s="32"/>
      <c r="E223" s="93"/>
      <c r="F223" s="16"/>
      <c r="G223" s="16"/>
      <c r="H223" s="127"/>
    </row>
    <row r="224" spans="1:8" ht="15.75" customHeight="1" thickBot="1" x14ac:dyDescent="0.3">
      <c r="A224" s="59" t="s">
        <v>183</v>
      </c>
      <c r="B224" s="48"/>
      <c r="C224" s="73">
        <v>300</v>
      </c>
      <c r="D224" s="73">
        <f>3559+992+68</f>
        <v>4619</v>
      </c>
      <c r="E224" s="95">
        <v>486</v>
      </c>
      <c r="F224" s="22">
        <f>SUM(C224:E224)</f>
        <v>5405</v>
      </c>
      <c r="G224" s="22">
        <f>-655+56</f>
        <v>-599</v>
      </c>
      <c r="H224" s="129">
        <f t="shared" si="20"/>
        <v>4806</v>
      </c>
    </row>
    <row r="225" spans="1:8" ht="18" customHeight="1" thickBot="1" x14ac:dyDescent="0.3">
      <c r="A225" s="60" t="s">
        <v>184</v>
      </c>
      <c r="B225" s="54"/>
      <c r="C225" s="45">
        <f>SUM(C227:C242)</f>
        <v>18536.239999999998</v>
      </c>
      <c r="D225" s="45">
        <f>SUM(D227:D242)</f>
        <v>408.98</v>
      </c>
      <c r="E225" s="102">
        <f>SUM(E227:E242)</f>
        <v>0</v>
      </c>
      <c r="F225" s="45">
        <f>SUM(F227:F242)</f>
        <v>18945.22</v>
      </c>
      <c r="G225" s="45">
        <f>SUM(G227:G242)</f>
        <v>0</v>
      </c>
      <c r="H225" s="137">
        <f t="shared" si="20"/>
        <v>18945.22</v>
      </c>
    </row>
    <row r="226" spans="1:8" ht="12.75" customHeight="1" x14ac:dyDescent="0.25">
      <c r="A226" s="61" t="s">
        <v>27</v>
      </c>
      <c r="B226" s="51"/>
      <c r="C226" s="32"/>
      <c r="D226" s="32"/>
      <c r="E226" s="93"/>
      <c r="F226" s="16"/>
      <c r="G226" s="16"/>
      <c r="H226" s="127"/>
    </row>
    <row r="227" spans="1:8" ht="26.25" customHeight="1" x14ac:dyDescent="0.25">
      <c r="A227" s="17" t="s">
        <v>185</v>
      </c>
      <c r="B227" s="57" t="s">
        <v>186</v>
      </c>
      <c r="C227" s="150">
        <v>860</v>
      </c>
      <c r="D227" s="150">
        <v>0</v>
      </c>
      <c r="E227" s="145">
        <v>-398</v>
      </c>
      <c r="F227" s="144">
        <f>SUM(C227:E227)</f>
        <v>462</v>
      </c>
      <c r="G227" s="146">
        <v>0</v>
      </c>
      <c r="H227" s="135">
        <f t="shared" si="20"/>
        <v>462</v>
      </c>
    </row>
    <row r="228" spans="1:8" ht="16.5" customHeight="1" x14ac:dyDescent="0.25">
      <c r="A228" s="17" t="s">
        <v>187</v>
      </c>
      <c r="B228" s="57" t="s">
        <v>188</v>
      </c>
      <c r="C228" s="150">
        <v>400</v>
      </c>
      <c r="D228" s="150">
        <v>0</v>
      </c>
      <c r="E228" s="145">
        <v>398</v>
      </c>
      <c r="F228" s="144">
        <f t="shared" ref="F228:F242" si="21">SUM(C228:E228)</f>
        <v>798</v>
      </c>
      <c r="G228" s="144">
        <v>0</v>
      </c>
      <c r="H228" s="128">
        <f t="shared" si="20"/>
        <v>798</v>
      </c>
    </row>
    <row r="229" spans="1:8" ht="26.25" customHeight="1" x14ac:dyDescent="0.25">
      <c r="A229" s="17" t="s">
        <v>189</v>
      </c>
      <c r="B229" s="57" t="s">
        <v>190</v>
      </c>
      <c r="C229" s="150">
        <v>300</v>
      </c>
      <c r="D229" s="150">
        <v>0</v>
      </c>
      <c r="E229" s="145">
        <v>0</v>
      </c>
      <c r="F229" s="144">
        <f t="shared" si="21"/>
        <v>300</v>
      </c>
      <c r="G229" s="144">
        <v>0</v>
      </c>
      <c r="H229" s="128">
        <f t="shared" si="20"/>
        <v>300</v>
      </c>
    </row>
    <row r="230" spans="1:8" ht="15" customHeight="1" x14ac:dyDescent="0.25">
      <c r="A230" s="17" t="s">
        <v>191</v>
      </c>
      <c r="B230" s="57" t="s">
        <v>36</v>
      </c>
      <c r="C230" s="150">
        <v>7502</v>
      </c>
      <c r="D230" s="150">
        <v>0</v>
      </c>
      <c r="E230" s="145">
        <v>0</v>
      </c>
      <c r="F230" s="144">
        <f t="shared" si="21"/>
        <v>7502</v>
      </c>
      <c r="G230" s="144">
        <v>0</v>
      </c>
      <c r="H230" s="128">
        <f t="shared" si="20"/>
        <v>7502</v>
      </c>
    </row>
    <row r="231" spans="1:8" ht="18" customHeight="1" x14ac:dyDescent="0.25">
      <c r="A231" s="17" t="s">
        <v>192</v>
      </c>
      <c r="B231" s="57" t="s">
        <v>36</v>
      </c>
      <c r="C231" s="150">
        <v>850</v>
      </c>
      <c r="D231" s="150">
        <v>0</v>
      </c>
      <c r="E231" s="145">
        <v>0</v>
      </c>
      <c r="F231" s="144">
        <f t="shared" si="21"/>
        <v>850</v>
      </c>
      <c r="G231" s="144">
        <v>0</v>
      </c>
      <c r="H231" s="128">
        <f t="shared" si="20"/>
        <v>850</v>
      </c>
    </row>
    <row r="232" spans="1:8" ht="27.75" customHeight="1" x14ac:dyDescent="0.25">
      <c r="A232" s="17" t="s">
        <v>193</v>
      </c>
      <c r="B232" s="57"/>
      <c r="C232" s="150">
        <v>355</v>
      </c>
      <c r="D232" s="150">
        <v>0</v>
      </c>
      <c r="E232" s="145">
        <v>0</v>
      </c>
      <c r="F232" s="144">
        <f t="shared" si="21"/>
        <v>355</v>
      </c>
      <c r="G232" s="144">
        <v>0</v>
      </c>
      <c r="H232" s="128">
        <f t="shared" si="20"/>
        <v>355</v>
      </c>
    </row>
    <row r="233" spans="1:8" ht="15.75" customHeight="1" x14ac:dyDescent="0.25">
      <c r="A233" s="58" t="s">
        <v>194</v>
      </c>
      <c r="B233" s="57" t="s">
        <v>195</v>
      </c>
      <c r="C233" s="150">
        <v>500</v>
      </c>
      <c r="D233" s="150">
        <v>0</v>
      </c>
      <c r="E233" s="145">
        <v>0</v>
      </c>
      <c r="F233" s="144">
        <f t="shared" si="21"/>
        <v>500</v>
      </c>
      <c r="G233" s="144">
        <v>0</v>
      </c>
      <c r="H233" s="128">
        <f t="shared" si="20"/>
        <v>500</v>
      </c>
    </row>
    <row r="234" spans="1:8" ht="15.75" customHeight="1" x14ac:dyDescent="0.25">
      <c r="A234" s="17" t="s">
        <v>196</v>
      </c>
      <c r="B234" s="57"/>
      <c r="C234" s="150">
        <v>70</v>
      </c>
      <c r="D234" s="150">
        <v>0</v>
      </c>
      <c r="E234" s="145">
        <v>0</v>
      </c>
      <c r="F234" s="144">
        <f t="shared" si="21"/>
        <v>70</v>
      </c>
      <c r="G234" s="144">
        <v>0</v>
      </c>
      <c r="H234" s="128">
        <f t="shared" si="20"/>
        <v>70</v>
      </c>
    </row>
    <row r="235" spans="1:8" ht="15" customHeight="1" x14ac:dyDescent="0.25">
      <c r="A235" s="58" t="s">
        <v>197</v>
      </c>
      <c r="B235" s="57"/>
      <c r="C235" s="150">
        <v>480</v>
      </c>
      <c r="D235" s="150">
        <v>0</v>
      </c>
      <c r="E235" s="145">
        <v>0</v>
      </c>
      <c r="F235" s="144">
        <f t="shared" si="21"/>
        <v>480</v>
      </c>
      <c r="G235" s="144">
        <v>0</v>
      </c>
      <c r="H235" s="128">
        <f t="shared" si="20"/>
        <v>480</v>
      </c>
    </row>
    <row r="236" spans="1:8" ht="16.5" customHeight="1" x14ac:dyDescent="0.25">
      <c r="A236" s="58" t="s">
        <v>198</v>
      </c>
      <c r="B236" s="57"/>
      <c r="C236" s="150">
        <v>2</v>
      </c>
      <c r="D236" s="150">
        <v>0</v>
      </c>
      <c r="E236" s="145">
        <v>0</v>
      </c>
      <c r="F236" s="144">
        <f t="shared" si="21"/>
        <v>2</v>
      </c>
      <c r="G236" s="144">
        <v>0</v>
      </c>
      <c r="H236" s="128">
        <f t="shared" si="20"/>
        <v>2</v>
      </c>
    </row>
    <row r="237" spans="1:8" ht="16.5" customHeight="1" x14ac:dyDescent="0.25">
      <c r="A237" s="58" t="s">
        <v>199</v>
      </c>
      <c r="B237" s="57"/>
      <c r="C237" s="150">
        <v>188</v>
      </c>
      <c r="D237" s="150">
        <v>0</v>
      </c>
      <c r="E237" s="145">
        <v>0</v>
      </c>
      <c r="F237" s="144">
        <f t="shared" si="21"/>
        <v>188</v>
      </c>
      <c r="G237" s="144">
        <v>0</v>
      </c>
      <c r="H237" s="128">
        <f t="shared" si="20"/>
        <v>188</v>
      </c>
    </row>
    <row r="238" spans="1:8" ht="15" customHeight="1" x14ac:dyDescent="0.25">
      <c r="A238" s="58" t="s">
        <v>200</v>
      </c>
      <c r="B238" s="57"/>
      <c r="C238" s="150">
        <v>15</v>
      </c>
      <c r="D238" s="150">
        <v>0</v>
      </c>
      <c r="E238" s="145">
        <v>0</v>
      </c>
      <c r="F238" s="144">
        <f t="shared" si="21"/>
        <v>15</v>
      </c>
      <c r="G238" s="144">
        <v>0</v>
      </c>
      <c r="H238" s="128">
        <f t="shared" si="20"/>
        <v>15</v>
      </c>
    </row>
    <row r="239" spans="1:8" ht="28.5" customHeight="1" x14ac:dyDescent="0.25">
      <c r="A239" s="17" t="s">
        <v>201</v>
      </c>
      <c r="B239" s="57"/>
      <c r="C239" s="150">
        <v>50</v>
      </c>
      <c r="D239" s="150">
        <v>0</v>
      </c>
      <c r="E239" s="145">
        <v>0</v>
      </c>
      <c r="F239" s="144">
        <f t="shared" si="21"/>
        <v>50</v>
      </c>
      <c r="G239" s="144">
        <v>0</v>
      </c>
      <c r="H239" s="128">
        <f t="shared" si="20"/>
        <v>50</v>
      </c>
    </row>
    <row r="240" spans="1:8" ht="23.25" customHeight="1" x14ac:dyDescent="0.25">
      <c r="A240" s="17" t="s">
        <v>202</v>
      </c>
      <c r="B240" s="57"/>
      <c r="C240" s="150">
        <v>30</v>
      </c>
      <c r="D240" s="150">
        <v>0</v>
      </c>
      <c r="E240" s="145">
        <v>0</v>
      </c>
      <c r="F240" s="144">
        <f t="shared" si="21"/>
        <v>30</v>
      </c>
      <c r="G240" s="144">
        <v>0</v>
      </c>
      <c r="H240" s="128">
        <f t="shared" si="20"/>
        <v>30</v>
      </c>
    </row>
    <row r="241" spans="1:8" ht="16.5" customHeight="1" x14ac:dyDescent="0.25">
      <c r="A241" s="17" t="s">
        <v>203</v>
      </c>
      <c r="B241" s="57"/>
      <c r="C241" s="150">
        <v>600</v>
      </c>
      <c r="D241" s="150">
        <v>0</v>
      </c>
      <c r="E241" s="145">
        <v>0</v>
      </c>
      <c r="F241" s="144">
        <f t="shared" si="21"/>
        <v>600</v>
      </c>
      <c r="G241" s="144">
        <v>0</v>
      </c>
      <c r="H241" s="128">
        <f t="shared" si="20"/>
        <v>600</v>
      </c>
    </row>
    <row r="242" spans="1:8" ht="17.25" customHeight="1" thickBot="1" x14ac:dyDescent="0.3">
      <c r="A242" s="20" t="s">
        <v>204</v>
      </c>
      <c r="B242" s="48"/>
      <c r="C242" s="157">
        <v>6334.24</v>
      </c>
      <c r="D242" s="157">
        <f>408.98</f>
        <v>408.98</v>
      </c>
      <c r="E242" s="147">
        <v>0</v>
      </c>
      <c r="F242" s="146">
        <f t="shared" si="21"/>
        <v>6743.2199999999993</v>
      </c>
      <c r="G242" s="146">
        <v>0</v>
      </c>
      <c r="H242" s="129">
        <f t="shared" si="20"/>
        <v>6743.2199999999993</v>
      </c>
    </row>
    <row r="243" spans="1:8" ht="16.350000000000001" customHeight="1" thickBot="1" x14ac:dyDescent="0.3">
      <c r="A243" s="60" t="s">
        <v>205</v>
      </c>
      <c r="B243" s="54"/>
      <c r="C243" s="45">
        <f>SUM(C245:C246)</f>
        <v>59013</v>
      </c>
      <c r="D243" s="45">
        <f>SUM(D245:D246)</f>
        <v>9</v>
      </c>
      <c r="E243" s="102">
        <f>SUM(E245:E246)</f>
        <v>0</v>
      </c>
      <c r="F243" s="45">
        <f>SUM(F245:F246)</f>
        <v>59022</v>
      </c>
      <c r="G243" s="45">
        <f>SUM(G245:G246)</f>
        <v>0</v>
      </c>
      <c r="H243" s="137">
        <f>SUM(F243:G243)</f>
        <v>59022</v>
      </c>
    </row>
    <row r="244" spans="1:8" ht="13.5" customHeight="1" x14ac:dyDescent="0.25">
      <c r="A244" s="61" t="s">
        <v>27</v>
      </c>
      <c r="B244" s="51"/>
      <c r="C244" s="32"/>
      <c r="D244" s="32"/>
      <c r="E244" s="93"/>
      <c r="F244" s="16"/>
      <c r="G244" s="16"/>
      <c r="H244" s="127"/>
    </row>
    <row r="245" spans="1:8" ht="17.25" customHeight="1" x14ac:dyDescent="0.25">
      <c r="A245" s="58" t="s">
        <v>30</v>
      </c>
      <c r="B245" s="53"/>
      <c r="C245" s="33">
        <v>300</v>
      </c>
      <c r="D245" s="33">
        <f>9</f>
        <v>9</v>
      </c>
      <c r="E245" s="94">
        <v>0</v>
      </c>
      <c r="F245" s="19">
        <f>SUM(C245:E245)</f>
        <v>309</v>
      </c>
      <c r="G245" s="19">
        <v>0</v>
      </c>
      <c r="H245" s="128">
        <f t="shared" si="20"/>
        <v>309</v>
      </c>
    </row>
    <row r="246" spans="1:8" ht="15.75" customHeight="1" thickBot="1" x14ac:dyDescent="0.3">
      <c r="A246" s="59" t="s">
        <v>206</v>
      </c>
      <c r="B246" s="48"/>
      <c r="C246" s="73">
        <v>58713</v>
      </c>
      <c r="D246" s="73">
        <v>0</v>
      </c>
      <c r="E246" s="95">
        <v>0</v>
      </c>
      <c r="F246" s="22">
        <f>SUM(C246:E246)</f>
        <v>58713</v>
      </c>
      <c r="G246" s="22">
        <v>0</v>
      </c>
      <c r="H246" s="129">
        <f t="shared" si="20"/>
        <v>58713</v>
      </c>
    </row>
    <row r="247" spans="1:8" ht="16.5" customHeight="1" thickBot="1" x14ac:dyDescent="0.3">
      <c r="A247" s="60" t="s">
        <v>207</v>
      </c>
      <c r="B247" s="54"/>
      <c r="C247" s="45">
        <f>SUM(C249:C250)</f>
        <v>27507</v>
      </c>
      <c r="D247" s="45">
        <f>SUM(D249:D250)</f>
        <v>8108.52</v>
      </c>
      <c r="E247" s="102">
        <f>SUM(E249:E250)</f>
        <v>0</v>
      </c>
      <c r="F247" s="45">
        <f>SUM(F249:F250)</f>
        <v>35615.520000000004</v>
      </c>
      <c r="G247" s="45">
        <f>SUM(G249:G250)</f>
        <v>2.04</v>
      </c>
      <c r="H247" s="137">
        <f>SUM(F247:G247)</f>
        <v>35617.560000000005</v>
      </c>
    </row>
    <row r="248" spans="1:8" ht="15" customHeight="1" x14ac:dyDescent="0.25">
      <c r="A248" s="61" t="s">
        <v>27</v>
      </c>
      <c r="B248" s="51"/>
      <c r="C248" s="32"/>
      <c r="D248" s="32"/>
      <c r="E248" s="93"/>
      <c r="F248" s="16"/>
      <c r="G248" s="28"/>
      <c r="H248" s="135"/>
    </row>
    <row r="249" spans="1:8" ht="15" customHeight="1" x14ac:dyDescent="0.25">
      <c r="A249" s="17" t="s">
        <v>30</v>
      </c>
      <c r="B249" s="53"/>
      <c r="C249" s="33">
        <v>100</v>
      </c>
      <c r="D249" s="33">
        <v>0</v>
      </c>
      <c r="E249" s="94">
        <v>0</v>
      </c>
      <c r="F249" s="19">
        <f>SUM(C249:E249)</f>
        <v>100</v>
      </c>
      <c r="G249" s="19">
        <f>1.7+0.34</f>
        <v>2.04</v>
      </c>
      <c r="H249" s="128">
        <f t="shared" si="20"/>
        <v>102.04</v>
      </c>
    </row>
    <row r="250" spans="1:8" ht="16.5" customHeight="1" thickBot="1" x14ac:dyDescent="0.3">
      <c r="A250" s="20" t="s">
        <v>208</v>
      </c>
      <c r="B250" s="48"/>
      <c r="C250" s="73">
        <v>27407</v>
      </c>
      <c r="D250" s="73">
        <f>5210.92+2944-46.4</f>
        <v>8108.52</v>
      </c>
      <c r="E250" s="95">
        <v>0</v>
      </c>
      <c r="F250" s="22">
        <f>SUM(C250:E250)</f>
        <v>35515.520000000004</v>
      </c>
      <c r="G250" s="22">
        <v>0</v>
      </c>
      <c r="H250" s="129">
        <f t="shared" si="20"/>
        <v>35515.520000000004</v>
      </c>
    </row>
    <row r="251" spans="1:8" ht="15.75" customHeight="1" thickBot="1" x14ac:dyDescent="0.3">
      <c r="A251" s="74" t="s">
        <v>209</v>
      </c>
      <c r="B251" s="54"/>
      <c r="C251" s="45">
        <f>SUM(C253:C254)</f>
        <v>5667</v>
      </c>
      <c r="D251" s="45">
        <f>SUM(D253:D254)</f>
        <v>0</v>
      </c>
      <c r="E251" s="102">
        <f>SUM(E253:E254)</f>
        <v>0</v>
      </c>
      <c r="F251" s="45">
        <f>SUM(F253:F254)</f>
        <v>5667</v>
      </c>
      <c r="G251" s="45">
        <f>SUM(G253:G254)</f>
        <v>602.9</v>
      </c>
      <c r="H251" s="137">
        <f>SUM(F251:G251)</f>
        <v>6269.9</v>
      </c>
    </row>
    <row r="252" spans="1:8" ht="13.5" customHeight="1" x14ac:dyDescent="0.25">
      <c r="A252" s="61" t="s">
        <v>27</v>
      </c>
      <c r="B252" s="51"/>
      <c r="C252" s="32"/>
      <c r="D252" s="32"/>
      <c r="E252" s="93"/>
      <c r="F252" s="16"/>
      <c r="G252" s="16"/>
      <c r="H252" s="127"/>
    </row>
    <row r="253" spans="1:8" ht="15.75" customHeight="1" x14ac:dyDescent="0.25">
      <c r="A253" s="58" t="s">
        <v>30</v>
      </c>
      <c r="B253" s="53"/>
      <c r="C253" s="150">
        <v>380</v>
      </c>
      <c r="D253" s="150">
        <v>0</v>
      </c>
      <c r="E253" s="145">
        <v>0</v>
      </c>
      <c r="F253" s="144">
        <f>SUM(C253:E253)</f>
        <v>380</v>
      </c>
      <c r="G253" s="144">
        <v>0</v>
      </c>
      <c r="H253" s="128">
        <f t="shared" si="20"/>
        <v>380</v>
      </c>
    </row>
    <row r="254" spans="1:8" ht="27.75" customHeight="1" thickBot="1" x14ac:dyDescent="0.3">
      <c r="A254" s="20" t="s">
        <v>210</v>
      </c>
      <c r="B254" s="48"/>
      <c r="C254" s="157">
        <v>5287</v>
      </c>
      <c r="D254" s="157">
        <v>0</v>
      </c>
      <c r="E254" s="147">
        <v>0</v>
      </c>
      <c r="F254" s="146">
        <f t="shared" ref="F254" si="22">SUM(C254:E254)</f>
        <v>5287</v>
      </c>
      <c r="G254" s="146">
        <f>200+202.9+200</f>
        <v>602.9</v>
      </c>
      <c r="H254" s="129">
        <f t="shared" si="20"/>
        <v>5889.9</v>
      </c>
    </row>
    <row r="255" spans="1:8" ht="16.5" customHeight="1" thickBot="1" x14ac:dyDescent="0.3">
      <c r="A255" s="75" t="s">
        <v>211</v>
      </c>
      <c r="B255" s="76"/>
      <c r="C255" s="77">
        <f>SUM(C24+C43+C48+C56+C60+C65+C155+C169+C178+C222+C225+C243+C247+C251)</f>
        <v>1553728.91</v>
      </c>
      <c r="D255" s="77">
        <f>SUM(D24+D43+D48+D56+D60+D65+D155+D169+D178+D222+D225+D243+D247+D251)</f>
        <v>6087.43</v>
      </c>
      <c r="E255" s="77">
        <f>SUM(E24+E43+E48+E56+E60+E65+E155+E169+E178+E222+E225+E243+E247+E251)</f>
        <v>58806.520000000004</v>
      </c>
      <c r="F255" s="77">
        <f>SUM(F24+F43+F48+F56+F60+F65+F155+F169+F178+F222+F225+F243+F247+F251)</f>
        <v>1618622.86</v>
      </c>
      <c r="G255" s="77">
        <f>SUM(G24+G43+G48+G56+G60+G65+G155+G169+G178+G222+G225+G243+G247+G251)</f>
        <v>61826.380000000005</v>
      </c>
      <c r="H255" s="138">
        <f t="shared" si="20"/>
        <v>1680449.2400000002</v>
      </c>
    </row>
    <row r="256" spans="1:8" ht="13.5" customHeight="1" thickBot="1" x14ac:dyDescent="0.3">
      <c r="A256" s="116"/>
      <c r="B256" s="117"/>
      <c r="C256" s="118"/>
      <c r="D256" s="118"/>
      <c r="E256" s="97"/>
      <c r="F256" s="28"/>
      <c r="G256" s="28"/>
      <c r="H256" s="135"/>
    </row>
    <row r="257" spans="1:8" ht="15.75" customHeight="1" thickBot="1" x14ac:dyDescent="0.3">
      <c r="A257" s="75" t="s">
        <v>212</v>
      </c>
      <c r="B257" s="140"/>
      <c r="C257" s="42"/>
      <c r="D257" s="42"/>
      <c r="E257" s="101"/>
      <c r="F257" s="42"/>
      <c r="G257" s="42"/>
      <c r="H257" s="136"/>
    </row>
    <row r="258" spans="1:8" ht="17.25" customHeight="1" thickBot="1" x14ac:dyDescent="0.3">
      <c r="A258" s="60" t="s">
        <v>26</v>
      </c>
      <c r="B258" s="54"/>
      <c r="C258" s="45">
        <f t="shared" ref="C258" si="23">SUM(C260)</f>
        <v>0</v>
      </c>
      <c r="D258" s="45">
        <f>SUM(D260)</f>
        <v>0</v>
      </c>
      <c r="E258" s="102">
        <f>SUM(E260)</f>
        <v>0</v>
      </c>
      <c r="F258" s="45">
        <f>SUM(F260)</f>
        <v>0</v>
      </c>
      <c r="G258" s="45">
        <f>SUM(G260)</f>
        <v>50</v>
      </c>
      <c r="H258" s="137">
        <f t="shared" si="20"/>
        <v>50</v>
      </c>
    </row>
    <row r="259" spans="1:8" ht="15.75" customHeight="1" x14ac:dyDescent="0.25">
      <c r="A259" s="61" t="s">
        <v>27</v>
      </c>
      <c r="B259" s="51"/>
      <c r="C259" s="16"/>
      <c r="D259" s="16"/>
      <c r="E259" s="93"/>
      <c r="F259" s="16"/>
      <c r="G259" s="16"/>
      <c r="H259" s="127">
        <f t="shared" si="20"/>
        <v>0</v>
      </c>
    </row>
    <row r="260" spans="1:8" ht="18" customHeight="1" thickBot="1" x14ac:dyDescent="0.3">
      <c r="A260" s="59" t="s">
        <v>213</v>
      </c>
      <c r="B260" s="48"/>
      <c r="C260" s="22">
        <v>0</v>
      </c>
      <c r="D260" s="22">
        <v>0</v>
      </c>
      <c r="E260" s="95">
        <v>0</v>
      </c>
      <c r="F260" s="22">
        <f>SUM(C260:E260)</f>
        <v>0</v>
      </c>
      <c r="G260" s="22">
        <f>50</f>
        <v>50</v>
      </c>
      <c r="H260" s="129">
        <f t="shared" si="20"/>
        <v>50</v>
      </c>
    </row>
    <row r="261" spans="1:8" ht="17.25" customHeight="1" thickBot="1" x14ac:dyDescent="0.3">
      <c r="A261" s="60" t="s">
        <v>214</v>
      </c>
      <c r="B261" s="54"/>
      <c r="C261" s="45">
        <f>SUM(C263:C265)</f>
        <v>8000</v>
      </c>
      <c r="D261" s="45">
        <f>SUM(D263:D265)</f>
        <v>50</v>
      </c>
      <c r="E261" s="102">
        <f>SUM(E263:E265)</f>
        <v>0</v>
      </c>
      <c r="F261" s="45">
        <f>SUM(F263:F265)</f>
        <v>8050</v>
      </c>
      <c r="G261" s="45">
        <f>SUM(G263:G265)</f>
        <v>0</v>
      </c>
      <c r="H261" s="137">
        <f t="shared" si="20"/>
        <v>8050</v>
      </c>
    </row>
    <row r="262" spans="1:8" ht="15.75" customHeight="1" x14ac:dyDescent="0.25">
      <c r="A262" s="61" t="s">
        <v>27</v>
      </c>
      <c r="B262" s="51"/>
      <c r="C262" s="16"/>
      <c r="D262" s="16"/>
      <c r="E262" s="93"/>
      <c r="F262" s="16"/>
      <c r="G262" s="16"/>
      <c r="H262" s="127"/>
    </row>
    <row r="263" spans="1:8" ht="16.5" customHeight="1" x14ac:dyDescent="0.25">
      <c r="A263" s="58" t="s">
        <v>215</v>
      </c>
      <c r="B263" s="53"/>
      <c r="C263" s="144">
        <v>8000</v>
      </c>
      <c r="D263" s="144">
        <f>50</f>
        <v>50</v>
      </c>
      <c r="E263" s="145">
        <v>0</v>
      </c>
      <c r="F263" s="144">
        <f>SUM(C263:E263)</f>
        <v>8050</v>
      </c>
      <c r="G263" s="144">
        <v>0</v>
      </c>
      <c r="H263" s="128">
        <f t="shared" si="20"/>
        <v>8050</v>
      </c>
    </row>
    <row r="264" spans="1:8" ht="17.25" customHeight="1" x14ac:dyDescent="0.25">
      <c r="A264" s="58" t="s">
        <v>216</v>
      </c>
      <c r="B264" s="53"/>
      <c r="C264" s="144">
        <v>0</v>
      </c>
      <c r="D264" s="144">
        <v>0</v>
      </c>
      <c r="E264" s="145">
        <v>0</v>
      </c>
      <c r="F264" s="144">
        <f t="shared" ref="F264:F265" si="24">SUM(C264:E264)</f>
        <v>0</v>
      </c>
      <c r="G264" s="144">
        <v>0</v>
      </c>
      <c r="H264" s="128">
        <f t="shared" si="20"/>
        <v>0</v>
      </c>
    </row>
    <row r="265" spans="1:8" ht="18.75" customHeight="1" thickBot="1" x14ac:dyDescent="0.3">
      <c r="A265" s="59" t="s">
        <v>217</v>
      </c>
      <c r="B265" s="48"/>
      <c r="C265" s="146">
        <v>0</v>
      </c>
      <c r="D265" s="146">
        <v>0</v>
      </c>
      <c r="E265" s="147">
        <v>0</v>
      </c>
      <c r="F265" s="146">
        <f t="shared" si="24"/>
        <v>0</v>
      </c>
      <c r="G265" s="146">
        <v>0</v>
      </c>
      <c r="H265" s="129">
        <f t="shared" si="20"/>
        <v>0</v>
      </c>
    </row>
    <row r="266" spans="1:8" ht="16.5" customHeight="1" thickBot="1" x14ac:dyDescent="0.3">
      <c r="A266" s="60" t="s">
        <v>33</v>
      </c>
      <c r="B266" s="54"/>
      <c r="C266" s="45">
        <f t="shared" ref="C266" si="25">SUM(C268:C275)</f>
        <v>146292.67000000001</v>
      </c>
      <c r="D266" s="45">
        <f>SUM(D268:D275)</f>
        <v>-141.66</v>
      </c>
      <c r="E266" s="102">
        <f>SUM(E268:E275)</f>
        <v>162688.91999999998</v>
      </c>
      <c r="F266" s="45">
        <f>SUM(F268:F275)</f>
        <v>308839.93</v>
      </c>
      <c r="G266" s="45">
        <f>SUM(G268:G275)</f>
        <v>-16389</v>
      </c>
      <c r="H266" s="137">
        <f t="shared" si="20"/>
        <v>292450.93</v>
      </c>
    </row>
    <row r="267" spans="1:8" ht="15" customHeight="1" x14ac:dyDescent="0.25">
      <c r="A267" s="61" t="s">
        <v>27</v>
      </c>
      <c r="B267" s="51"/>
      <c r="C267" s="16"/>
      <c r="D267" s="16"/>
      <c r="E267" s="93"/>
      <c r="F267" s="16"/>
      <c r="G267" s="16"/>
      <c r="H267" s="127"/>
    </row>
    <row r="268" spans="1:8" ht="15.75" customHeight="1" x14ac:dyDescent="0.25">
      <c r="A268" s="58" t="s">
        <v>218</v>
      </c>
      <c r="B268" s="53"/>
      <c r="C268" s="144">
        <v>1600</v>
      </c>
      <c r="D268" s="144">
        <v>0</v>
      </c>
      <c r="E268" s="145">
        <v>4456.45</v>
      </c>
      <c r="F268" s="144">
        <f>SUM(C268:E268)</f>
        <v>6056.45</v>
      </c>
      <c r="G268" s="144">
        <v>0</v>
      </c>
      <c r="H268" s="128">
        <f t="shared" si="20"/>
        <v>6056.45</v>
      </c>
    </row>
    <row r="269" spans="1:8" ht="17.25" customHeight="1" x14ac:dyDescent="0.25">
      <c r="A269" s="58" t="s">
        <v>219</v>
      </c>
      <c r="B269" s="53"/>
      <c r="C269" s="144">
        <v>3100</v>
      </c>
      <c r="D269" s="144">
        <f>-81.66</f>
        <v>-81.66</v>
      </c>
      <c r="E269" s="145">
        <v>4753.5600000000004</v>
      </c>
      <c r="F269" s="144">
        <f t="shared" ref="F269:F275" si="26">SUM(C269:E269)</f>
        <v>7771.9000000000005</v>
      </c>
      <c r="G269" s="144">
        <f>-1181</f>
        <v>-1181</v>
      </c>
      <c r="H269" s="128">
        <f t="shared" si="20"/>
        <v>6590.9000000000005</v>
      </c>
    </row>
    <row r="270" spans="1:8" ht="16.5" customHeight="1" x14ac:dyDescent="0.25">
      <c r="A270" s="17" t="s">
        <v>220</v>
      </c>
      <c r="B270" s="53"/>
      <c r="C270" s="144">
        <v>1300</v>
      </c>
      <c r="D270" s="144">
        <f>-60</f>
        <v>-60</v>
      </c>
      <c r="E270" s="145">
        <v>2267.6799999999998</v>
      </c>
      <c r="F270" s="144">
        <f t="shared" si="26"/>
        <v>3507.68</v>
      </c>
      <c r="G270" s="144">
        <v>0</v>
      </c>
      <c r="H270" s="128">
        <f t="shared" si="20"/>
        <v>3507.68</v>
      </c>
    </row>
    <row r="271" spans="1:8" ht="17.25" customHeight="1" x14ac:dyDescent="0.25">
      <c r="A271" s="58" t="s">
        <v>221</v>
      </c>
      <c r="B271" s="53"/>
      <c r="C271" s="144">
        <v>2900</v>
      </c>
      <c r="D271" s="144">
        <v>0</v>
      </c>
      <c r="E271" s="145">
        <v>5211.2</v>
      </c>
      <c r="F271" s="144">
        <f t="shared" si="26"/>
        <v>8111.2</v>
      </c>
      <c r="G271" s="144">
        <v>0</v>
      </c>
      <c r="H271" s="128">
        <f t="shared" si="20"/>
        <v>8111.2</v>
      </c>
    </row>
    <row r="272" spans="1:8" ht="16.5" customHeight="1" x14ac:dyDescent="0.25">
      <c r="A272" s="17" t="s">
        <v>222</v>
      </c>
      <c r="B272" s="53"/>
      <c r="C272" s="144">
        <v>1100</v>
      </c>
      <c r="D272" s="144">
        <v>0</v>
      </c>
      <c r="E272" s="145">
        <v>579</v>
      </c>
      <c r="F272" s="144">
        <f t="shared" si="26"/>
        <v>1679</v>
      </c>
      <c r="G272" s="146">
        <f>-8</f>
        <v>-8</v>
      </c>
      <c r="H272" s="135">
        <f t="shared" si="20"/>
        <v>1671</v>
      </c>
    </row>
    <row r="273" spans="1:8" ht="25.5" customHeight="1" x14ac:dyDescent="0.25">
      <c r="A273" s="17" t="s">
        <v>223</v>
      </c>
      <c r="B273" s="53"/>
      <c r="C273" s="144">
        <v>2677.75</v>
      </c>
      <c r="D273" s="144">
        <v>0</v>
      </c>
      <c r="E273" s="145">
        <v>0</v>
      </c>
      <c r="F273" s="144">
        <f t="shared" si="26"/>
        <v>2677.75</v>
      </c>
      <c r="G273" s="144">
        <v>0</v>
      </c>
      <c r="H273" s="128">
        <f t="shared" si="20"/>
        <v>2677.75</v>
      </c>
    </row>
    <row r="274" spans="1:8" ht="15" customHeight="1" x14ac:dyDescent="0.25">
      <c r="A274" s="17" t="s">
        <v>224</v>
      </c>
      <c r="B274" s="53"/>
      <c r="C274" s="19">
        <v>133614.92000000001</v>
      </c>
      <c r="D274" s="19">
        <v>0</v>
      </c>
      <c r="E274" s="94">
        <v>145421.03</v>
      </c>
      <c r="F274" s="19">
        <f t="shared" si="26"/>
        <v>279035.95</v>
      </c>
      <c r="G274" s="19">
        <f>-4200-11000</f>
        <v>-15200</v>
      </c>
      <c r="H274" s="128">
        <f t="shared" si="20"/>
        <v>263835.95</v>
      </c>
    </row>
    <row r="275" spans="1:8" ht="15.75" customHeight="1" thickBot="1" x14ac:dyDescent="0.3">
      <c r="A275" s="59" t="s">
        <v>225</v>
      </c>
      <c r="B275" s="48"/>
      <c r="C275" s="22">
        <v>0</v>
      </c>
      <c r="D275" s="22">
        <v>0</v>
      </c>
      <c r="E275" s="95">
        <v>0</v>
      </c>
      <c r="F275" s="22">
        <f t="shared" si="26"/>
        <v>0</v>
      </c>
      <c r="G275" s="22">
        <v>0</v>
      </c>
      <c r="H275" s="129">
        <f t="shared" si="20"/>
        <v>0</v>
      </c>
    </row>
    <row r="276" spans="1:8" ht="15" customHeight="1" thickBot="1" x14ac:dyDescent="0.3">
      <c r="A276" s="60" t="s">
        <v>41</v>
      </c>
      <c r="B276" s="54"/>
      <c r="C276" s="45">
        <f>SUM(C278:C279)</f>
        <v>14737.300000000001</v>
      </c>
      <c r="D276" s="45">
        <f>SUM(D278:D279)</f>
        <v>8656.35</v>
      </c>
      <c r="E276" s="102">
        <f>SUM(E278:E279)</f>
        <v>834.93000000000006</v>
      </c>
      <c r="F276" s="45">
        <f>SUM(F278:F279)</f>
        <v>24228.58</v>
      </c>
      <c r="G276" s="45">
        <f>SUM(G278:G279)</f>
        <v>2376.7600000000002</v>
      </c>
      <c r="H276" s="137">
        <f t="shared" si="20"/>
        <v>26605.340000000004</v>
      </c>
    </row>
    <row r="277" spans="1:8" ht="16.5" customHeight="1" x14ac:dyDescent="0.25">
      <c r="A277" s="61" t="s">
        <v>27</v>
      </c>
      <c r="B277" s="51"/>
      <c r="C277" s="16"/>
      <c r="D277" s="16"/>
      <c r="E277" s="93"/>
      <c r="F277" s="16"/>
      <c r="G277" s="16"/>
      <c r="H277" s="127"/>
    </row>
    <row r="278" spans="1:8" ht="16.5" customHeight="1" x14ac:dyDescent="0.25">
      <c r="A278" s="58" t="s">
        <v>215</v>
      </c>
      <c r="B278" s="53"/>
      <c r="C278" s="19">
        <v>13059.1</v>
      </c>
      <c r="D278" s="19">
        <f>7964.48-27.59+281.78+437.68</f>
        <v>8656.35</v>
      </c>
      <c r="E278" s="94">
        <v>610</v>
      </c>
      <c r="F278" s="19">
        <f t="shared" ref="F278:F279" si="27">SUM(C278:E278)</f>
        <v>22325.45</v>
      </c>
      <c r="G278" s="19">
        <f>45+1300+18.46+1013.3</f>
        <v>2376.7600000000002</v>
      </c>
      <c r="H278" s="128">
        <f t="shared" si="20"/>
        <v>24702.21</v>
      </c>
    </row>
    <row r="279" spans="1:8" ht="16.5" customHeight="1" thickBot="1" x14ac:dyDescent="0.3">
      <c r="A279" s="20" t="s">
        <v>226</v>
      </c>
      <c r="B279" s="48"/>
      <c r="C279" s="22">
        <v>1678.2</v>
      </c>
      <c r="D279" s="22">
        <v>0</v>
      </c>
      <c r="E279" s="95">
        <v>224.93</v>
      </c>
      <c r="F279" s="22">
        <f t="shared" si="27"/>
        <v>1903.13</v>
      </c>
      <c r="G279" s="22">
        <v>0</v>
      </c>
      <c r="H279" s="129">
        <f t="shared" si="20"/>
        <v>1903.13</v>
      </c>
    </row>
    <row r="280" spans="1:8" ht="16.5" customHeight="1" thickBot="1" x14ac:dyDescent="0.3">
      <c r="A280" s="78" t="s">
        <v>43</v>
      </c>
      <c r="B280" s="50"/>
      <c r="C280" s="79">
        <f t="shared" ref="C280" si="28">SUM(C282:C283)</f>
        <v>0</v>
      </c>
      <c r="D280" s="79">
        <f>SUM(D282:D283)</f>
        <v>0</v>
      </c>
      <c r="E280" s="102">
        <f>SUM(E282:E283)</f>
        <v>0</v>
      </c>
      <c r="F280" s="45">
        <f>SUM(F282:F283)</f>
        <v>0</v>
      </c>
      <c r="G280" s="45">
        <f>SUM(G282:G283)</f>
        <v>0</v>
      </c>
      <c r="H280" s="137">
        <f t="shared" si="20"/>
        <v>0</v>
      </c>
    </row>
    <row r="281" spans="1:8" ht="15" customHeight="1" x14ac:dyDescent="0.25">
      <c r="A281" s="61" t="s">
        <v>27</v>
      </c>
      <c r="B281" s="51"/>
      <c r="C281" s="16"/>
      <c r="D281" s="16"/>
      <c r="E281" s="93"/>
      <c r="F281" s="16"/>
      <c r="G281" s="16"/>
      <c r="H281" s="127"/>
    </row>
    <row r="282" spans="1:8" ht="17.25" customHeight="1" x14ac:dyDescent="0.25">
      <c r="A282" s="58" t="s">
        <v>215</v>
      </c>
      <c r="B282" s="53"/>
      <c r="C282" s="19">
        <v>0</v>
      </c>
      <c r="D282" s="19">
        <v>0</v>
      </c>
      <c r="E282" s="94">
        <v>0</v>
      </c>
      <c r="F282" s="19">
        <f>SUM(C282:E282)</f>
        <v>0</v>
      </c>
      <c r="G282" s="19">
        <v>0</v>
      </c>
      <c r="H282" s="128">
        <f t="shared" si="20"/>
        <v>0</v>
      </c>
    </row>
    <row r="283" spans="1:8" ht="17.25" customHeight="1" thickBot="1" x14ac:dyDescent="0.3">
      <c r="A283" s="59" t="s">
        <v>227</v>
      </c>
      <c r="B283" s="48"/>
      <c r="C283" s="22">
        <v>0</v>
      </c>
      <c r="D283" s="22">
        <v>0</v>
      </c>
      <c r="E283" s="95">
        <v>0</v>
      </c>
      <c r="F283" s="22">
        <f>SUM(C283:E283)</f>
        <v>0</v>
      </c>
      <c r="G283" s="22">
        <v>0</v>
      </c>
      <c r="H283" s="129">
        <f t="shared" ref="H283:H344" si="29">SUM(F283:G283)</f>
        <v>0</v>
      </c>
    </row>
    <row r="284" spans="1:8" ht="15.75" customHeight="1" thickBot="1" x14ac:dyDescent="0.3">
      <c r="A284" s="60" t="s">
        <v>47</v>
      </c>
      <c r="B284" s="54"/>
      <c r="C284" s="45">
        <f>SUM(C286:C300)</f>
        <v>2850</v>
      </c>
      <c r="D284" s="45">
        <f>SUM(D286:D300)</f>
        <v>270</v>
      </c>
      <c r="E284" s="102">
        <f>SUM(E286:E300)</f>
        <v>5845.42</v>
      </c>
      <c r="F284" s="45">
        <f>SUM(F286:F300)</f>
        <v>8965.42</v>
      </c>
      <c r="G284" s="45">
        <f>SUM(G286:G300)</f>
        <v>-360</v>
      </c>
      <c r="H284" s="137">
        <f t="shared" si="29"/>
        <v>8605.42</v>
      </c>
    </row>
    <row r="285" spans="1:8" ht="15.75" customHeight="1" x14ac:dyDescent="0.25">
      <c r="A285" s="61" t="s">
        <v>27</v>
      </c>
      <c r="B285" s="51"/>
      <c r="C285" s="16"/>
      <c r="D285" s="16"/>
      <c r="E285" s="93"/>
      <c r="F285" s="16"/>
      <c r="G285" s="16"/>
      <c r="H285" s="127"/>
    </row>
    <row r="286" spans="1:8" ht="16.5" customHeight="1" x14ac:dyDescent="0.25">
      <c r="A286" s="58" t="s">
        <v>215</v>
      </c>
      <c r="B286" s="53"/>
      <c r="C286" s="144">
        <v>2850</v>
      </c>
      <c r="D286" s="144">
        <f>130+140</f>
        <v>270</v>
      </c>
      <c r="E286" s="145">
        <v>1965</v>
      </c>
      <c r="F286" s="144">
        <f>SUM(C286:E286)</f>
        <v>5085</v>
      </c>
      <c r="G286" s="144">
        <f>-360</f>
        <v>-360</v>
      </c>
      <c r="H286" s="128">
        <f t="shared" si="29"/>
        <v>4725</v>
      </c>
    </row>
    <row r="287" spans="1:8" ht="27.75" customHeight="1" x14ac:dyDescent="0.25">
      <c r="A287" s="20" t="s">
        <v>276</v>
      </c>
      <c r="B287" s="48" t="s">
        <v>36</v>
      </c>
      <c r="C287" s="146">
        <v>0</v>
      </c>
      <c r="D287" s="158">
        <v>0</v>
      </c>
      <c r="E287" s="159">
        <v>240</v>
      </c>
      <c r="F287" s="144">
        <f t="shared" ref="F287:F299" si="30">SUM(C287:E287)</f>
        <v>240</v>
      </c>
      <c r="G287" s="144">
        <v>0</v>
      </c>
      <c r="H287" s="128">
        <f t="shared" si="29"/>
        <v>240</v>
      </c>
    </row>
    <row r="288" spans="1:8" ht="29.25" customHeight="1" x14ac:dyDescent="0.25">
      <c r="A288" s="17" t="s">
        <v>277</v>
      </c>
      <c r="B288" s="53" t="s">
        <v>36</v>
      </c>
      <c r="C288" s="144">
        <v>0</v>
      </c>
      <c r="D288" s="160">
        <v>0</v>
      </c>
      <c r="E288" s="161">
        <v>750</v>
      </c>
      <c r="F288" s="144">
        <f t="shared" si="30"/>
        <v>750</v>
      </c>
      <c r="G288" s="144">
        <v>0</v>
      </c>
      <c r="H288" s="128">
        <f t="shared" si="29"/>
        <v>750</v>
      </c>
    </row>
    <row r="289" spans="1:8" ht="28.5" customHeight="1" x14ac:dyDescent="0.25">
      <c r="A289" s="17" t="s">
        <v>278</v>
      </c>
      <c r="B289" s="53" t="s">
        <v>36</v>
      </c>
      <c r="C289" s="144">
        <v>0</v>
      </c>
      <c r="D289" s="160">
        <v>0</v>
      </c>
      <c r="E289" s="161">
        <v>60</v>
      </c>
      <c r="F289" s="144">
        <f t="shared" si="30"/>
        <v>60</v>
      </c>
      <c r="G289" s="144">
        <v>0</v>
      </c>
      <c r="H289" s="128">
        <f t="shared" si="29"/>
        <v>60</v>
      </c>
    </row>
    <row r="290" spans="1:8" ht="28.5" customHeight="1" x14ac:dyDescent="0.25">
      <c r="A290" s="17" t="s">
        <v>279</v>
      </c>
      <c r="B290" s="53" t="s">
        <v>273</v>
      </c>
      <c r="C290" s="144">
        <v>0</v>
      </c>
      <c r="D290" s="160">
        <v>0</v>
      </c>
      <c r="E290" s="161">
        <v>68.84</v>
      </c>
      <c r="F290" s="144">
        <f t="shared" si="30"/>
        <v>68.84</v>
      </c>
      <c r="G290" s="144">
        <v>0</v>
      </c>
      <c r="H290" s="128">
        <f t="shared" si="29"/>
        <v>68.84</v>
      </c>
    </row>
    <row r="291" spans="1:8" ht="37.5" customHeight="1" x14ac:dyDescent="0.25">
      <c r="A291" s="17" t="s">
        <v>280</v>
      </c>
      <c r="B291" s="53" t="s">
        <v>273</v>
      </c>
      <c r="C291" s="144">
        <v>0</v>
      </c>
      <c r="D291" s="160">
        <v>0</v>
      </c>
      <c r="E291" s="161">
        <v>11.58</v>
      </c>
      <c r="F291" s="144">
        <f t="shared" si="30"/>
        <v>11.58</v>
      </c>
      <c r="G291" s="144">
        <v>0</v>
      </c>
      <c r="H291" s="128">
        <f t="shared" si="29"/>
        <v>11.58</v>
      </c>
    </row>
    <row r="292" spans="1:8" ht="15" customHeight="1" x14ac:dyDescent="0.25">
      <c r="A292" s="58" t="s">
        <v>281</v>
      </c>
      <c r="B292" s="53" t="s">
        <v>36</v>
      </c>
      <c r="C292" s="144">
        <v>0</v>
      </c>
      <c r="D292" s="160">
        <v>0</v>
      </c>
      <c r="E292" s="161">
        <v>140</v>
      </c>
      <c r="F292" s="144">
        <f t="shared" si="30"/>
        <v>140</v>
      </c>
      <c r="G292" s="144">
        <v>0</v>
      </c>
      <c r="H292" s="128">
        <f t="shared" si="29"/>
        <v>140</v>
      </c>
    </row>
    <row r="293" spans="1:8" ht="13.5" customHeight="1" x14ac:dyDescent="0.25">
      <c r="A293" s="58" t="s">
        <v>282</v>
      </c>
      <c r="B293" s="53" t="s">
        <v>36</v>
      </c>
      <c r="C293" s="144">
        <v>0</v>
      </c>
      <c r="D293" s="160">
        <v>0</v>
      </c>
      <c r="E293" s="161">
        <v>300</v>
      </c>
      <c r="F293" s="144">
        <f t="shared" si="30"/>
        <v>300</v>
      </c>
      <c r="G293" s="144">
        <v>0</v>
      </c>
      <c r="H293" s="128">
        <f t="shared" si="29"/>
        <v>300</v>
      </c>
    </row>
    <row r="294" spans="1:8" ht="28.5" customHeight="1" x14ac:dyDescent="0.25">
      <c r="A294" s="17" t="s">
        <v>283</v>
      </c>
      <c r="B294" s="53" t="s">
        <v>36</v>
      </c>
      <c r="C294" s="144">
        <v>0</v>
      </c>
      <c r="D294" s="160">
        <v>0</v>
      </c>
      <c r="E294" s="161">
        <v>260</v>
      </c>
      <c r="F294" s="144">
        <f t="shared" si="30"/>
        <v>260</v>
      </c>
      <c r="G294" s="144">
        <v>0</v>
      </c>
      <c r="H294" s="128">
        <f t="shared" si="29"/>
        <v>260</v>
      </c>
    </row>
    <row r="295" spans="1:8" ht="28.5" customHeight="1" x14ac:dyDescent="0.25">
      <c r="A295" s="17" t="s">
        <v>284</v>
      </c>
      <c r="B295" s="53" t="s">
        <v>36</v>
      </c>
      <c r="C295" s="144">
        <v>0</v>
      </c>
      <c r="D295" s="144">
        <v>0</v>
      </c>
      <c r="E295" s="144">
        <v>250</v>
      </c>
      <c r="F295" s="144">
        <f t="shared" si="30"/>
        <v>250</v>
      </c>
      <c r="G295" s="144">
        <v>0</v>
      </c>
      <c r="H295" s="128">
        <f t="shared" si="29"/>
        <v>250</v>
      </c>
    </row>
    <row r="296" spans="1:8" ht="16.5" customHeight="1" x14ac:dyDescent="0.25">
      <c r="A296" s="59" t="s">
        <v>285</v>
      </c>
      <c r="B296" s="48" t="s">
        <v>36</v>
      </c>
      <c r="C296" s="146">
        <v>0</v>
      </c>
      <c r="D296" s="158">
        <v>0</v>
      </c>
      <c r="E296" s="159">
        <v>100</v>
      </c>
      <c r="F296" s="144">
        <f t="shared" si="30"/>
        <v>100</v>
      </c>
      <c r="G296" s="144">
        <v>0</v>
      </c>
      <c r="H296" s="128">
        <f t="shared" si="29"/>
        <v>100</v>
      </c>
    </row>
    <row r="297" spans="1:8" ht="16.5" customHeight="1" x14ac:dyDescent="0.25">
      <c r="A297" s="59" t="s">
        <v>286</v>
      </c>
      <c r="B297" s="48" t="s">
        <v>36</v>
      </c>
      <c r="C297" s="146">
        <v>0</v>
      </c>
      <c r="D297" s="158">
        <v>0</v>
      </c>
      <c r="E297" s="159">
        <v>300</v>
      </c>
      <c r="F297" s="144">
        <f t="shared" si="30"/>
        <v>300</v>
      </c>
      <c r="G297" s="144">
        <v>0</v>
      </c>
      <c r="H297" s="128">
        <f t="shared" si="29"/>
        <v>300</v>
      </c>
    </row>
    <row r="298" spans="1:8" ht="16.5" customHeight="1" x14ac:dyDescent="0.25">
      <c r="A298" s="59" t="s">
        <v>287</v>
      </c>
      <c r="B298" s="48" t="s">
        <v>36</v>
      </c>
      <c r="C298" s="146">
        <v>0</v>
      </c>
      <c r="D298" s="158">
        <v>0</v>
      </c>
      <c r="E298" s="159">
        <v>300</v>
      </c>
      <c r="F298" s="144">
        <f t="shared" si="30"/>
        <v>300</v>
      </c>
      <c r="G298" s="144">
        <v>0</v>
      </c>
      <c r="H298" s="128">
        <f t="shared" si="29"/>
        <v>300</v>
      </c>
    </row>
    <row r="299" spans="1:8" ht="16.5" customHeight="1" x14ac:dyDescent="0.25">
      <c r="A299" s="58" t="s">
        <v>288</v>
      </c>
      <c r="B299" s="53" t="s">
        <v>36</v>
      </c>
      <c r="C299" s="144">
        <v>0</v>
      </c>
      <c r="D299" s="160">
        <v>0</v>
      </c>
      <c r="E299" s="161">
        <v>100</v>
      </c>
      <c r="F299" s="144">
        <f t="shared" si="30"/>
        <v>100</v>
      </c>
      <c r="G299" s="144">
        <v>0</v>
      </c>
      <c r="H299" s="128">
        <f t="shared" si="29"/>
        <v>100</v>
      </c>
    </row>
    <row r="300" spans="1:8" ht="16.5" customHeight="1" thickBot="1" x14ac:dyDescent="0.3">
      <c r="A300" s="59" t="s">
        <v>228</v>
      </c>
      <c r="B300" s="48"/>
      <c r="C300" s="146">
        <v>0</v>
      </c>
      <c r="D300" s="158">
        <v>0</v>
      </c>
      <c r="E300" s="159">
        <v>1000</v>
      </c>
      <c r="F300" s="146">
        <f>SUM(C300:E300)</f>
        <v>1000</v>
      </c>
      <c r="G300" s="146">
        <v>0</v>
      </c>
      <c r="H300" s="129">
        <f t="shared" si="29"/>
        <v>1000</v>
      </c>
    </row>
    <row r="301" spans="1:8" ht="16.350000000000001" customHeight="1" thickBot="1" x14ac:dyDescent="0.3">
      <c r="A301" s="60" t="s">
        <v>125</v>
      </c>
      <c r="B301" s="54"/>
      <c r="C301" s="81">
        <f>SUM(C303:C304)</f>
        <v>46983</v>
      </c>
      <c r="D301" s="81">
        <f>SUM(D303:D304)</f>
        <v>0</v>
      </c>
      <c r="E301" s="104">
        <f>SUM(E303:E304)</f>
        <v>7585</v>
      </c>
      <c r="F301" s="45">
        <f>SUM(F303:F304)</f>
        <v>54568</v>
      </c>
      <c r="G301" s="45">
        <f>SUM(G303:G304)</f>
        <v>8</v>
      </c>
      <c r="H301" s="137">
        <f t="shared" si="29"/>
        <v>54576</v>
      </c>
    </row>
    <row r="302" spans="1:8" ht="14.25" customHeight="1" x14ac:dyDescent="0.25">
      <c r="A302" s="61" t="s">
        <v>27</v>
      </c>
      <c r="B302" s="51"/>
      <c r="C302" s="16"/>
      <c r="D302" s="82"/>
      <c r="E302" s="105"/>
      <c r="F302" s="16"/>
      <c r="G302" s="16"/>
      <c r="H302" s="127"/>
    </row>
    <row r="303" spans="1:8" ht="15.75" customHeight="1" x14ac:dyDescent="0.25">
      <c r="A303" s="58" t="s">
        <v>215</v>
      </c>
      <c r="B303" s="53"/>
      <c r="C303" s="19">
        <v>46983</v>
      </c>
      <c r="D303" s="83">
        <v>0</v>
      </c>
      <c r="E303" s="106">
        <v>7585</v>
      </c>
      <c r="F303" s="19">
        <f>SUM(C303:E303)</f>
        <v>54568</v>
      </c>
      <c r="G303" s="19">
        <f>8</f>
        <v>8</v>
      </c>
      <c r="H303" s="128">
        <f t="shared" si="29"/>
        <v>54576</v>
      </c>
    </row>
    <row r="304" spans="1:8" ht="16.5" customHeight="1" thickBot="1" x14ac:dyDescent="0.3">
      <c r="A304" s="20" t="s">
        <v>229</v>
      </c>
      <c r="B304" s="48"/>
      <c r="C304" s="22">
        <v>0</v>
      </c>
      <c r="D304" s="80">
        <v>0</v>
      </c>
      <c r="E304" s="103">
        <v>0</v>
      </c>
      <c r="F304" s="22">
        <f>SUM(C304:E304)</f>
        <v>0</v>
      </c>
      <c r="G304" s="22">
        <v>0</v>
      </c>
      <c r="H304" s="129">
        <f t="shared" si="29"/>
        <v>0</v>
      </c>
    </row>
    <row r="305" spans="1:8" ht="17.25" customHeight="1" thickBot="1" x14ac:dyDescent="0.3">
      <c r="A305" s="60" t="s">
        <v>135</v>
      </c>
      <c r="B305" s="54"/>
      <c r="C305" s="45">
        <f>SUM(C307:C312)</f>
        <v>24838.940000000002</v>
      </c>
      <c r="D305" s="81">
        <f>SUM(D307:D312)</f>
        <v>50</v>
      </c>
      <c r="E305" s="102">
        <f>SUM(E307:E312)</f>
        <v>-2520</v>
      </c>
      <c r="F305" s="45">
        <f>SUM(F307:F312)</f>
        <v>22368.940000000002</v>
      </c>
      <c r="G305" s="45">
        <f>SUM(G307:G312)</f>
        <v>114</v>
      </c>
      <c r="H305" s="137">
        <f t="shared" si="29"/>
        <v>22482.940000000002</v>
      </c>
    </row>
    <row r="306" spans="1:8" ht="16.5" customHeight="1" x14ac:dyDescent="0.25">
      <c r="A306" s="61" t="s">
        <v>27</v>
      </c>
      <c r="B306" s="51"/>
      <c r="C306" s="16"/>
      <c r="D306" s="82"/>
      <c r="E306" s="93"/>
      <c r="F306" s="16"/>
      <c r="G306" s="16"/>
      <c r="H306" s="127"/>
    </row>
    <row r="307" spans="1:8" ht="15" customHeight="1" x14ac:dyDescent="0.25">
      <c r="A307" s="58" t="s">
        <v>215</v>
      </c>
      <c r="B307" s="53"/>
      <c r="C307" s="144">
        <v>5283.06</v>
      </c>
      <c r="D307" s="144">
        <f>50</f>
        <v>50</v>
      </c>
      <c r="E307" s="145">
        <v>480</v>
      </c>
      <c r="F307" s="144">
        <f>SUM(C307:E307)</f>
        <v>5813.06</v>
      </c>
      <c r="G307" s="144">
        <f>114</f>
        <v>114</v>
      </c>
      <c r="H307" s="128">
        <f t="shared" si="29"/>
        <v>5927.06</v>
      </c>
    </row>
    <row r="308" spans="1:8" ht="26.25" customHeight="1" x14ac:dyDescent="0.25">
      <c r="A308" s="17" t="s">
        <v>230</v>
      </c>
      <c r="B308" s="53"/>
      <c r="C308" s="144">
        <v>3000</v>
      </c>
      <c r="D308" s="144">
        <v>0</v>
      </c>
      <c r="E308" s="145">
        <v>-3000</v>
      </c>
      <c r="F308" s="144">
        <f t="shared" ref="F308:F312" si="31">SUM(C308:E308)</f>
        <v>0</v>
      </c>
      <c r="G308" s="144">
        <v>0</v>
      </c>
      <c r="H308" s="128">
        <f t="shared" si="29"/>
        <v>0</v>
      </c>
    </row>
    <row r="309" spans="1:8" ht="27.75" customHeight="1" x14ac:dyDescent="0.25">
      <c r="A309" s="17" t="s">
        <v>231</v>
      </c>
      <c r="B309" s="53" t="s">
        <v>137</v>
      </c>
      <c r="C309" s="144">
        <v>655.88</v>
      </c>
      <c r="D309" s="144">
        <v>0</v>
      </c>
      <c r="E309" s="145">
        <v>0</v>
      </c>
      <c r="F309" s="144">
        <f t="shared" si="31"/>
        <v>655.88</v>
      </c>
      <c r="G309" s="144">
        <v>0</v>
      </c>
      <c r="H309" s="128">
        <f t="shared" si="29"/>
        <v>655.88</v>
      </c>
    </row>
    <row r="310" spans="1:8" ht="26.25" customHeight="1" x14ac:dyDescent="0.25">
      <c r="A310" s="17" t="s">
        <v>232</v>
      </c>
      <c r="B310" s="53" t="s">
        <v>233</v>
      </c>
      <c r="C310" s="144">
        <v>15500</v>
      </c>
      <c r="D310" s="144">
        <v>0</v>
      </c>
      <c r="E310" s="145">
        <v>0</v>
      </c>
      <c r="F310" s="144">
        <f t="shared" si="31"/>
        <v>15500</v>
      </c>
      <c r="G310" s="144">
        <v>0</v>
      </c>
      <c r="H310" s="128">
        <f t="shared" si="29"/>
        <v>15500</v>
      </c>
    </row>
    <row r="311" spans="1:8" ht="18.75" customHeight="1" x14ac:dyDescent="0.25">
      <c r="A311" s="17" t="s">
        <v>234</v>
      </c>
      <c r="B311" s="57" t="s">
        <v>121</v>
      </c>
      <c r="C311" s="144">
        <v>400</v>
      </c>
      <c r="D311" s="144">
        <v>0</v>
      </c>
      <c r="E311" s="145">
        <v>0</v>
      </c>
      <c r="F311" s="144">
        <f t="shared" si="31"/>
        <v>400</v>
      </c>
      <c r="G311" s="144">
        <v>0</v>
      </c>
      <c r="H311" s="128">
        <f t="shared" si="29"/>
        <v>400</v>
      </c>
    </row>
    <row r="312" spans="1:8" ht="18" customHeight="1" thickBot="1" x14ac:dyDescent="0.3">
      <c r="A312" s="20" t="s">
        <v>235</v>
      </c>
      <c r="B312" s="48"/>
      <c r="C312" s="146">
        <v>0</v>
      </c>
      <c r="D312" s="146">
        <v>0</v>
      </c>
      <c r="E312" s="147">
        <v>0</v>
      </c>
      <c r="F312" s="146">
        <f t="shared" si="31"/>
        <v>0</v>
      </c>
      <c r="G312" s="146">
        <v>0</v>
      </c>
      <c r="H312" s="129">
        <f t="shared" si="29"/>
        <v>0</v>
      </c>
    </row>
    <row r="313" spans="1:8" ht="13.5" customHeight="1" thickBot="1" x14ac:dyDescent="0.3">
      <c r="A313" s="60" t="s">
        <v>144</v>
      </c>
      <c r="B313" s="54"/>
      <c r="C313" s="45">
        <f>SUM(C315:C316)</f>
        <v>1000</v>
      </c>
      <c r="D313" s="45">
        <f>SUM(D315:D316)</f>
        <v>0</v>
      </c>
      <c r="E313" s="102">
        <f>SUM(E315:E316)</f>
        <v>0</v>
      </c>
      <c r="F313" s="45">
        <f>SUM(F315:F316)</f>
        <v>1000</v>
      </c>
      <c r="G313" s="81">
        <f>SUM(G315:G316)</f>
        <v>0</v>
      </c>
      <c r="H313" s="137">
        <f t="shared" si="29"/>
        <v>1000</v>
      </c>
    </row>
    <row r="314" spans="1:8" ht="13.5" customHeight="1" x14ac:dyDescent="0.25">
      <c r="A314" s="61" t="s">
        <v>27</v>
      </c>
      <c r="B314" s="51"/>
      <c r="C314" s="16"/>
      <c r="D314" s="16"/>
      <c r="E314" s="93"/>
      <c r="F314" s="16"/>
      <c r="G314" s="16"/>
      <c r="H314" s="127"/>
    </row>
    <row r="315" spans="1:8" ht="15" customHeight="1" x14ac:dyDescent="0.25">
      <c r="A315" s="17" t="s">
        <v>236</v>
      </c>
      <c r="B315" s="57" t="s">
        <v>36</v>
      </c>
      <c r="C315" s="19">
        <v>1000</v>
      </c>
      <c r="D315" s="19">
        <v>0</v>
      </c>
      <c r="E315" s="94">
        <v>0</v>
      </c>
      <c r="F315" s="19">
        <f>SUM(C315:E315)</f>
        <v>1000</v>
      </c>
      <c r="G315" s="19">
        <v>0</v>
      </c>
      <c r="H315" s="128">
        <f t="shared" si="29"/>
        <v>1000</v>
      </c>
    </row>
    <row r="316" spans="1:8" ht="17.25" customHeight="1" thickBot="1" x14ac:dyDescent="0.3">
      <c r="A316" s="59" t="s">
        <v>237</v>
      </c>
      <c r="B316" s="48"/>
      <c r="C316" s="22">
        <v>0</v>
      </c>
      <c r="D316" s="22">
        <v>0</v>
      </c>
      <c r="E316" s="95">
        <v>0</v>
      </c>
      <c r="F316" s="22">
        <f>SUM(C316:E316)</f>
        <v>0</v>
      </c>
      <c r="G316" s="22">
        <v>0</v>
      </c>
      <c r="H316" s="129">
        <f t="shared" si="29"/>
        <v>0</v>
      </c>
    </row>
    <row r="317" spans="1:8" ht="15.75" customHeight="1" thickBot="1" x14ac:dyDescent="0.3">
      <c r="A317" s="60" t="s">
        <v>182</v>
      </c>
      <c r="B317" s="54"/>
      <c r="C317" s="45">
        <f>SUM(C319:C323)</f>
        <v>253596</v>
      </c>
      <c r="D317" s="45">
        <f>SUM(D319:D323)</f>
        <v>-4619</v>
      </c>
      <c r="E317" s="102">
        <f>SUM(E319:E323)</f>
        <v>24941</v>
      </c>
      <c r="F317" s="45">
        <f>SUM(F319:F323)</f>
        <v>273918</v>
      </c>
      <c r="G317" s="45">
        <f>SUM(G319:G323)</f>
        <v>15799</v>
      </c>
      <c r="H317" s="137">
        <f t="shared" si="29"/>
        <v>289717</v>
      </c>
    </row>
    <row r="318" spans="1:8" ht="15" customHeight="1" x14ac:dyDescent="0.25">
      <c r="A318" s="61" t="s">
        <v>27</v>
      </c>
      <c r="B318" s="51"/>
      <c r="C318" s="16"/>
      <c r="D318" s="16"/>
      <c r="E318" s="93"/>
      <c r="F318" s="16"/>
      <c r="G318" s="16"/>
      <c r="H318" s="127"/>
    </row>
    <row r="319" spans="1:8" ht="17.25" customHeight="1" x14ac:dyDescent="0.25">
      <c r="A319" s="58" t="s">
        <v>215</v>
      </c>
      <c r="B319" s="53"/>
      <c r="C319" s="144">
        <v>252596</v>
      </c>
      <c r="D319" s="144">
        <f>-3559-992-68</f>
        <v>-4619</v>
      </c>
      <c r="E319" s="145">
        <v>21663</v>
      </c>
      <c r="F319" s="144">
        <f>SUM(C319:E319)</f>
        <v>269640</v>
      </c>
      <c r="G319" s="144">
        <f>4855+200+10944</f>
        <v>15999</v>
      </c>
      <c r="H319" s="128">
        <f t="shared" si="29"/>
        <v>285639</v>
      </c>
    </row>
    <row r="320" spans="1:8" ht="15.75" customHeight="1" x14ac:dyDescent="0.25">
      <c r="A320" s="17" t="s">
        <v>238</v>
      </c>
      <c r="B320" s="53"/>
      <c r="C320" s="144">
        <v>1000</v>
      </c>
      <c r="D320" s="144">
        <v>0</v>
      </c>
      <c r="E320" s="145">
        <v>0</v>
      </c>
      <c r="F320" s="144">
        <f t="shared" ref="F320:F323" si="32">SUM(C320:E320)</f>
        <v>1000</v>
      </c>
      <c r="G320" s="144">
        <v>0</v>
      </c>
      <c r="H320" s="128">
        <f t="shared" si="29"/>
        <v>1000</v>
      </c>
    </row>
    <row r="321" spans="1:8" ht="17.25" customHeight="1" x14ac:dyDescent="0.25">
      <c r="A321" s="58" t="s">
        <v>239</v>
      </c>
      <c r="B321" s="53"/>
      <c r="C321" s="144">
        <v>0</v>
      </c>
      <c r="D321" s="144">
        <v>0</v>
      </c>
      <c r="E321" s="145">
        <v>278</v>
      </c>
      <c r="F321" s="144">
        <f t="shared" si="32"/>
        <v>278</v>
      </c>
      <c r="G321" s="144">
        <f>-200</f>
        <v>-200</v>
      </c>
      <c r="H321" s="128">
        <f t="shared" si="29"/>
        <v>78</v>
      </c>
    </row>
    <row r="322" spans="1:8" ht="26.25" customHeight="1" x14ac:dyDescent="0.25">
      <c r="A322" s="17" t="s">
        <v>230</v>
      </c>
      <c r="B322" s="53"/>
      <c r="C322" s="144">
        <v>0</v>
      </c>
      <c r="D322" s="144">
        <v>0</v>
      </c>
      <c r="E322" s="145">
        <v>3000</v>
      </c>
      <c r="F322" s="144">
        <f t="shared" si="32"/>
        <v>3000</v>
      </c>
      <c r="G322" s="144">
        <v>0</v>
      </c>
      <c r="H322" s="128">
        <f t="shared" si="29"/>
        <v>3000</v>
      </c>
    </row>
    <row r="323" spans="1:8" ht="18.75" customHeight="1" thickBot="1" x14ac:dyDescent="0.3">
      <c r="A323" s="59" t="s">
        <v>240</v>
      </c>
      <c r="B323" s="48"/>
      <c r="C323" s="146">
        <v>0</v>
      </c>
      <c r="D323" s="146">
        <v>0</v>
      </c>
      <c r="E323" s="147">
        <v>0</v>
      </c>
      <c r="F323" s="146">
        <f t="shared" si="32"/>
        <v>0</v>
      </c>
      <c r="G323" s="146">
        <v>0</v>
      </c>
      <c r="H323" s="129">
        <f t="shared" si="29"/>
        <v>0</v>
      </c>
    </row>
    <row r="324" spans="1:8" ht="16.350000000000001" customHeight="1" thickBot="1" x14ac:dyDescent="0.3">
      <c r="A324" s="60" t="s">
        <v>184</v>
      </c>
      <c r="B324" s="54"/>
      <c r="C324" s="45">
        <f>SUM(C326:C332)</f>
        <v>8726.74</v>
      </c>
      <c r="D324" s="45">
        <f>SUM(D326:D332)</f>
        <v>-408.98</v>
      </c>
      <c r="E324" s="102">
        <f>SUM(E326:E332)</f>
        <v>239.58</v>
      </c>
      <c r="F324" s="45">
        <f>SUM(F326:F332)</f>
        <v>8557.34</v>
      </c>
      <c r="G324" s="45">
        <f>SUM(G326:G332)</f>
        <v>0</v>
      </c>
      <c r="H324" s="137">
        <f t="shared" si="29"/>
        <v>8557.34</v>
      </c>
    </row>
    <row r="325" spans="1:8" ht="15" customHeight="1" x14ac:dyDescent="0.25">
      <c r="A325" s="61" t="s">
        <v>27</v>
      </c>
      <c r="B325" s="51"/>
      <c r="C325" s="16"/>
      <c r="D325" s="16"/>
      <c r="E325" s="93"/>
      <c r="F325" s="16"/>
      <c r="G325" s="16"/>
      <c r="H325" s="127"/>
    </row>
    <row r="326" spans="1:8" ht="16.5" customHeight="1" x14ac:dyDescent="0.25">
      <c r="A326" s="17" t="s">
        <v>241</v>
      </c>
      <c r="B326" s="71" t="s">
        <v>242</v>
      </c>
      <c r="C326" s="144">
        <v>5000</v>
      </c>
      <c r="D326" s="144">
        <v>0</v>
      </c>
      <c r="E326" s="145">
        <v>0</v>
      </c>
      <c r="F326" s="144">
        <f>SUM(C326:E326)</f>
        <v>5000</v>
      </c>
      <c r="G326" s="144">
        <v>0</v>
      </c>
      <c r="H326" s="128">
        <f t="shared" si="29"/>
        <v>5000</v>
      </c>
    </row>
    <row r="327" spans="1:8" ht="15" customHeight="1" x14ac:dyDescent="0.25">
      <c r="A327" s="58" t="s">
        <v>243</v>
      </c>
      <c r="B327" s="53"/>
      <c r="C327" s="144">
        <v>1000</v>
      </c>
      <c r="D327" s="144">
        <f>-408.98</f>
        <v>-408.98</v>
      </c>
      <c r="E327" s="145">
        <v>239.58</v>
      </c>
      <c r="F327" s="144">
        <f t="shared" ref="F327:F332" si="33">SUM(C327:E327)</f>
        <v>830.6</v>
      </c>
      <c r="G327" s="144">
        <v>0</v>
      </c>
      <c r="H327" s="128">
        <f t="shared" si="29"/>
        <v>830.6</v>
      </c>
    </row>
    <row r="328" spans="1:8" ht="15" customHeight="1" x14ac:dyDescent="0.25">
      <c r="A328" s="58" t="s">
        <v>215</v>
      </c>
      <c r="B328" s="53"/>
      <c r="C328" s="144">
        <v>474.34</v>
      </c>
      <c r="D328" s="144">
        <v>0</v>
      </c>
      <c r="E328" s="145">
        <v>0</v>
      </c>
      <c r="F328" s="144">
        <f t="shared" si="33"/>
        <v>474.34</v>
      </c>
      <c r="G328" s="144">
        <v>0</v>
      </c>
      <c r="H328" s="128">
        <f t="shared" si="29"/>
        <v>474.34</v>
      </c>
    </row>
    <row r="329" spans="1:8" ht="29.25" customHeight="1" x14ac:dyDescent="0.25">
      <c r="A329" s="17" t="s">
        <v>244</v>
      </c>
      <c r="B329" s="57" t="s">
        <v>195</v>
      </c>
      <c r="C329" s="144">
        <v>2012.4</v>
      </c>
      <c r="D329" s="144">
        <v>0</v>
      </c>
      <c r="E329" s="145">
        <v>0</v>
      </c>
      <c r="F329" s="144">
        <f t="shared" si="33"/>
        <v>2012.4</v>
      </c>
      <c r="G329" s="144">
        <v>0</v>
      </c>
      <c r="H329" s="128">
        <f t="shared" si="29"/>
        <v>2012.4</v>
      </c>
    </row>
    <row r="330" spans="1:8" ht="18" customHeight="1" x14ac:dyDescent="0.25">
      <c r="A330" s="17" t="s">
        <v>245</v>
      </c>
      <c r="B330" s="53"/>
      <c r="C330" s="144">
        <v>90</v>
      </c>
      <c r="D330" s="144">
        <v>0</v>
      </c>
      <c r="E330" s="145">
        <v>0</v>
      </c>
      <c r="F330" s="144">
        <f t="shared" si="33"/>
        <v>90</v>
      </c>
      <c r="G330" s="144">
        <v>0</v>
      </c>
      <c r="H330" s="128">
        <f t="shared" si="29"/>
        <v>90</v>
      </c>
    </row>
    <row r="331" spans="1:8" ht="26.25" customHeight="1" x14ac:dyDescent="0.25">
      <c r="A331" s="17" t="s">
        <v>246</v>
      </c>
      <c r="B331" s="53"/>
      <c r="C331" s="144">
        <v>150</v>
      </c>
      <c r="D331" s="144">
        <v>0</v>
      </c>
      <c r="E331" s="145">
        <v>0</v>
      </c>
      <c r="F331" s="144">
        <f t="shared" si="33"/>
        <v>150</v>
      </c>
      <c r="G331" s="144">
        <v>0</v>
      </c>
      <c r="H331" s="128">
        <f t="shared" si="29"/>
        <v>150</v>
      </c>
    </row>
    <row r="332" spans="1:8" ht="18.75" customHeight="1" thickBot="1" x14ac:dyDescent="0.3">
      <c r="A332" s="20" t="s">
        <v>247</v>
      </c>
      <c r="B332" s="48"/>
      <c r="C332" s="162">
        <v>0</v>
      </c>
      <c r="D332" s="162">
        <v>0</v>
      </c>
      <c r="E332" s="147">
        <v>0</v>
      </c>
      <c r="F332" s="146">
        <f t="shared" si="33"/>
        <v>0</v>
      </c>
      <c r="G332" s="146">
        <v>0</v>
      </c>
      <c r="H332" s="129">
        <f t="shared" si="29"/>
        <v>0</v>
      </c>
    </row>
    <row r="333" spans="1:8" ht="15.75" customHeight="1" thickBot="1" x14ac:dyDescent="0.3">
      <c r="A333" s="60" t="s">
        <v>205</v>
      </c>
      <c r="B333" s="54"/>
      <c r="C333" s="45">
        <f>SUM(C335:C335)</f>
        <v>900</v>
      </c>
      <c r="D333" s="45">
        <f>SUM(D335)</f>
        <v>0</v>
      </c>
      <c r="E333" s="102">
        <f>SUM(E335)</f>
        <v>0</v>
      </c>
      <c r="F333" s="45">
        <f>SUM(F335)</f>
        <v>900</v>
      </c>
      <c r="G333" s="45">
        <f>SUM(G335)</f>
        <v>0</v>
      </c>
      <c r="H333" s="137">
        <f t="shared" si="29"/>
        <v>900</v>
      </c>
    </row>
    <row r="334" spans="1:8" ht="14.25" customHeight="1" x14ac:dyDescent="0.25">
      <c r="A334" s="61" t="s">
        <v>27</v>
      </c>
      <c r="B334" s="51"/>
      <c r="C334" s="16"/>
      <c r="D334" s="16"/>
      <c r="E334" s="93"/>
      <c r="F334" s="16"/>
      <c r="G334" s="16"/>
      <c r="H334" s="127"/>
    </row>
    <row r="335" spans="1:8" ht="17.25" customHeight="1" thickBot="1" x14ac:dyDescent="0.3">
      <c r="A335" s="59" t="s">
        <v>215</v>
      </c>
      <c r="B335" s="48"/>
      <c r="C335" s="22">
        <v>900</v>
      </c>
      <c r="D335" s="22">
        <v>0</v>
      </c>
      <c r="E335" s="95">
        <v>0</v>
      </c>
      <c r="F335" s="22">
        <f>SUM(C335:E335)</f>
        <v>900</v>
      </c>
      <c r="G335" s="22">
        <v>0</v>
      </c>
      <c r="H335" s="129">
        <f t="shared" si="29"/>
        <v>900</v>
      </c>
    </row>
    <row r="336" spans="1:8" ht="16.5" customHeight="1" thickBot="1" x14ac:dyDescent="0.3">
      <c r="A336" s="60" t="s">
        <v>207</v>
      </c>
      <c r="B336" s="54"/>
      <c r="C336" s="45">
        <f>SUM(C338:C338)</f>
        <v>23254</v>
      </c>
      <c r="D336" s="45">
        <f>SUM(D338)</f>
        <v>-8108.52</v>
      </c>
      <c r="E336" s="102">
        <f>SUM(E338)</f>
        <v>12735</v>
      </c>
      <c r="F336" s="45">
        <f>SUM(F338)</f>
        <v>27880.48</v>
      </c>
      <c r="G336" s="81">
        <f>SUM(G338)</f>
        <v>1218</v>
      </c>
      <c r="H336" s="137">
        <f>SUM(F336:G336)</f>
        <v>29098.48</v>
      </c>
    </row>
    <row r="337" spans="1:8" ht="14.25" customHeight="1" x14ac:dyDescent="0.25">
      <c r="A337" s="61" t="s">
        <v>27</v>
      </c>
      <c r="B337" s="51"/>
      <c r="C337" s="16"/>
      <c r="D337" s="16"/>
      <c r="E337" s="93"/>
      <c r="F337" s="16"/>
      <c r="G337" s="16"/>
      <c r="H337" s="127"/>
    </row>
    <row r="338" spans="1:8" ht="18" customHeight="1" thickBot="1" x14ac:dyDescent="0.3">
      <c r="A338" s="59" t="s">
        <v>215</v>
      </c>
      <c r="B338" s="48"/>
      <c r="C338" s="22">
        <v>23254</v>
      </c>
      <c r="D338" s="22">
        <f>-5210.92-2944+46.4</f>
        <v>-8108.52</v>
      </c>
      <c r="E338" s="95">
        <v>12735</v>
      </c>
      <c r="F338" s="22">
        <f>SUM(C338:E338)</f>
        <v>27880.48</v>
      </c>
      <c r="G338" s="22">
        <f>1218</f>
        <v>1218</v>
      </c>
      <c r="H338" s="129">
        <f t="shared" si="29"/>
        <v>29098.48</v>
      </c>
    </row>
    <row r="339" spans="1:8" ht="18" customHeight="1" thickBot="1" x14ac:dyDescent="0.3">
      <c r="A339" s="74" t="s">
        <v>209</v>
      </c>
      <c r="B339" s="54"/>
      <c r="C339" s="45">
        <f>SUM(C341:C342)</f>
        <v>900</v>
      </c>
      <c r="D339" s="45">
        <f>SUM(D341:D342)</f>
        <v>0</v>
      </c>
      <c r="E339" s="102">
        <f>SUM(E341:E342)</f>
        <v>1200</v>
      </c>
      <c r="F339" s="45">
        <f>SUM(F341:F342)</f>
        <v>2100</v>
      </c>
      <c r="G339" s="45">
        <f>SUM(G341:G342)</f>
        <v>0</v>
      </c>
      <c r="H339" s="137">
        <f t="shared" si="29"/>
        <v>2100</v>
      </c>
    </row>
    <row r="340" spans="1:8" ht="16.5" customHeight="1" x14ac:dyDescent="0.25">
      <c r="A340" s="61" t="s">
        <v>27</v>
      </c>
      <c r="B340" s="51"/>
      <c r="C340" s="16"/>
      <c r="D340" s="16"/>
      <c r="E340" s="93"/>
      <c r="F340" s="16"/>
      <c r="G340" s="16"/>
      <c r="H340" s="127"/>
    </row>
    <row r="341" spans="1:8" ht="17.25" customHeight="1" x14ac:dyDescent="0.25">
      <c r="A341" s="58" t="s">
        <v>215</v>
      </c>
      <c r="B341" s="53"/>
      <c r="C341" s="144">
        <v>0</v>
      </c>
      <c r="D341" s="144">
        <v>0</v>
      </c>
      <c r="E341" s="145">
        <v>1200</v>
      </c>
      <c r="F341" s="144">
        <f>SUM(C341:E341)</f>
        <v>1200</v>
      </c>
      <c r="G341" s="144">
        <v>0</v>
      </c>
      <c r="H341" s="128">
        <f t="shared" si="29"/>
        <v>1200</v>
      </c>
    </row>
    <row r="342" spans="1:8" ht="27.75" customHeight="1" thickBot="1" x14ac:dyDescent="0.3">
      <c r="A342" s="163" t="s">
        <v>248</v>
      </c>
      <c r="B342" s="115" t="s">
        <v>36</v>
      </c>
      <c r="C342" s="146">
        <v>900</v>
      </c>
      <c r="D342" s="146">
        <v>0</v>
      </c>
      <c r="E342" s="147">
        <v>0</v>
      </c>
      <c r="F342" s="146">
        <f>SUM(C342:E342)</f>
        <v>900</v>
      </c>
      <c r="G342" s="146">
        <v>0</v>
      </c>
      <c r="H342" s="129">
        <f t="shared" si="29"/>
        <v>900</v>
      </c>
    </row>
    <row r="343" spans="1:8" ht="17.25" customHeight="1" thickBot="1" x14ac:dyDescent="0.3">
      <c r="A343" s="75" t="s">
        <v>249</v>
      </c>
      <c r="B343" s="76"/>
      <c r="C343" s="77">
        <f>SUM(C258+C261+C266+C276+C280+C284+C301+C305+C313+C317+C324+C333+C336+C339)</f>
        <v>532078.65</v>
      </c>
      <c r="D343" s="77">
        <f>SUM(D258+D261+D266+D276+D280+D284+D301+D305+D313+D317+D324+D333+D336+D339)</f>
        <v>-4251.8099999999995</v>
      </c>
      <c r="E343" s="77">
        <f>SUM(E258+E261+E266+E276+E280+E284+E301+E305+E313+E317+E324+E333+E336+E339)</f>
        <v>213549.84999999998</v>
      </c>
      <c r="F343" s="77">
        <f>SUM(F258+F261+F266+F276+F280+F284+F301+F305+F313+F317+F324+F333+F336+F339)</f>
        <v>741376.69</v>
      </c>
      <c r="G343" s="77">
        <f>SUM(G258+G261+G266+G276+G280+G284+G301+G305+G313+G317+G324+G333+G336+G339)</f>
        <v>2816.76</v>
      </c>
      <c r="H343" s="138">
        <f t="shared" si="29"/>
        <v>744193.45</v>
      </c>
    </row>
    <row r="344" spans="1:8" ht="18" customHeight="1" thickBot="1" x14ac:dyDescent="0.3">
      <c r="A344" s="84" t="s">
        <v>250</v>
      </c>
      <c r="B344" s="85"/>
      <c r="C344" s="77">
        <f>C255+C343</f>
        <v>2085807.56</v>
      </c>
      <c r="D344" s="77">
        <f>SUM(D255+D343)</f>
        <v>1835.6200000000008</v>
      </c>
      <c r="E344" s="77">
        <f>SUM(E255+E343)</f>
        <v>272356.37</v>
      </c>
      <c r="F344" s="77">
        <f>SUM(C344:E344)</f>
        <v>2359999.5500000003</v>
      </c>
      <c r="G344" s="77">
        <f>SUM(G255+G343)</f>
        <v>64643.140000000007</v>
      </c>
      <c r="H344" s="138">
        <f t="shared" si="29"/>
        <v>2424642.6900000004</v>
      </c>
    </row>
    <row r="345" spans="1:8" ht="16.5" customHeight="1" thickBot="1" x14ac:dyDescent="0.3">
      <c r="A345" s="119"/>
      <c r="B345" s="120"/>
      <c r="C345" s="118"/>
      <c r="D345" s="118"/>
      <c r="E345" s="97"/>
      <c r="F345" s="28"/>
      <c r="G345" s="28"/>
      <c r="H345" s="135"/>
    </row>
    <row r="346" spans="1:8" ht="20.25" customHeight="1" thickBot="1" x14ac:dyDescent="0.3">
      <c r="A346" s="29" t="s">
        <v>251</v>
      </c>
      <c r="B346" s="86"/>
      <c r="C346" s="31"/>
      <c r="D346" s="31"/>
      <c r="E346" s="98"/>
      <c r="F346" s="31"/>
      <c r="G346" s="31"/>
      <c r="H346" s="139"/>
    </row>
    <row r="347" spans="1:8" ht="15" customHeight="1" x14ac:dyDescent="0.25">
      <c r="A347" s="14" t="s">
        <v>252</v>
      </c>
      <c r="B347" s="51"/>
      <c r="C347" s="142">
        <v>12000</v>
      </c>
      <c r="D347" s="142">
        <v>0</v>
      </c>
      <c r="E347" s="143">
        <v>204</v>
      </c>
      <c r="F347" s="142">
        <f>SUM(C347:E347)</f>
        <v>12204</v>
      </c>
      <c r="G347" s="142">
        <v>0</v>
      </c>
      <c r="H347" s="127">
        <f t="shared" ref="H347:H355" si="34">SUM(F347:G347)</f>
        <v>12204</v>
      </c>
    </row>
    <row r="348" spans="1:8" ht="17.25" customHeight="1" x14ac:dyDescent="0.25">
      <c r="A348" s="17" t="s">
        <v>253</v>
      </c>
      <c r="B348" s="53"/>
      <c r="C348" s="144">
        <v>0</v>
      </c>
      <c r="D348" s="144">
        <v>0</v>
      </c>
      <c r="E348" s="145">
        <v>0</v>
      </c>
      <c r="F348" s="142">
        <f t="shared" ref="F348:F353" si="35">SUM(C348:E348)</f>
        <v>0</v>
      </c>
      <c r="G348" s="144">
        <v>0</v>
      </c>
      <c r="H348" s="128">
        <f t="shared" si="34"/>
        <v>0</v>
      </c>
    </row>
    <row r="349" spans="1:8" ht="17.25" customHeight="1" x14ac:dyDescent="0.25">
      <c r="A349" s="17" t="s">
        <v>254</v>
      </c>
      <c r="B349" s="53"/>
      <c r="C349" s="144">
        <v>0</v>
      </c>
      <c r="D349" s="144">
        <v>0</v>
      </c>
      <c r="E349" s="145">
        <v>0</v>
      </c>
      <c r="F349" s="142">
        <f t="shared" si="35"/>
        <v>0</v>
      </c>
      <c r="G349" s="144">
        <v>0</v>
      </c>
      <c r="H349" s="128">
        <f t="shared" si="34"/>
        <v>0</v>
      </c>
    </row>
    <row r="350" spans="1:8" ht="15" customHeight="1" x14ac:dyDescent="0.25">
      <c r="A350" s="17" t="s">
        <v>255</v>
      </c>
      <c r="B350" s="53"/>
      <c r="C350" s="144">
        <v>2859</v>
      </c>
      <c r="D350" s="144">
        <v>0</v>
      </c>
      <c r="E350" s="145">
        <v>0</v>
      </c>
      <c r="F350" s="142">
        <f t="shared" si="35"/>
        <v>2859</v>
      </c>
      <c r="G350" s="144">
        <v>0</v>
      </c>
      <c r="H350" s="128">
        <f t="shared" si="34"/>
        <v>2859</v>
      </c>
    </row>
    <row r="351" spans="1:8" ht="15" customHeight="1" x14ac:dyDescent="0.25">
      <c r="A351" s="17" t="s">
        <v>256</v>
      </c>
      <c r="B351" s="53"/>
      <c r="C351" s="144">
        <v>0</v>
      </c>
      <c r="D351" s="144">
        <v>0</v>
      </c>
      <c r="E351" s="145">
        <v>0</v>
      </c>
      <c r="F351" s="142">
        <f t="shared" si="35"/>
        <v>0</v>
      </c>
      <c r="G351" s="144">
        <v>0</v>
      </c>
      <c r="H351" s="128">
        <f t="shared" si="34"/>
        <v>0</v>
      </c>
    </row>
    <row r="352" spans="1:8" ht="15" customHeight="1" x14ac:dyDescent="0.25">
      <c r="A352" s="17" t="s">
        <v>257</v>
      </c>
      <c r="B352" s="53"/>
      <c r="C352" s="144">
        <v>0</v>
      </c>
      <c r="D352" s="144">
        <v>0</v>
      </c>
      <c r="E352" s="145">
        <v>0</v>
      </c>
      <c r="F352" s="142">
        <f t="shared" si="35"/>
        <v>0</v>
      </c>
      <c r="G352" s="144">
        <v>0</v>
      </c>
      <c r="H352" s="128">
        <f t="shared" si="34"/>
        <v>0</v>
      </c>
    </row>
    <row r="353" spans="1:8" ht="18" customHeight="1" thickBot="1" x14ac:dyDescent="0.3">
      <c r="A353" s="20" t="s">
        <v>258</v>
      </c>
      <c r="B353" s="48"/>
      <c r="C353" s="146">
        <v>40563.1</v>
      </c>
      <c r="D353" s="146">
        <v>0</v>
      </c>
      <c r="E353" s="147">
        <v>0</v>
      </c>
      <c r="F353" s="148">
        <f t="shared" si="35"/>
        <v>40563.1</v>
      </c>
      <c r="G353" s="146">
        <v>0</v>
      </c>
      <c r="H353" s="129">
        <f t="shared" si="34"/>
        <v>40563.1</v>
      </c>
    </row>
    <row r="354" spans="1:8" ht="18.75" customHeight="1" thickBot="1" x14ac:dyDescent="0.3">
      <c r="A354" s="29" t="s">
        <v>259</v>
      </c>
      <c r="B354" s="87"/>
      <c r="C354" s="36">
        <f t="shared" ref="C354" si="36">SUM(C347:C353)</f>
        <v>55422.1</v>
      </c>
      <c r="D354" s="36">
        <f>SUM(D347:D353)</f>
        <v>0</v>
      </c>
      <c r="E354" s="99">
        <f>SUM(E347:E353)</f>
        <v>204</v>
      </c>
      <c r="F354" s="36">
        <f>SUM(F347:F353)</f>
        <v>55626.1</v>
      </c>
      <c r="G354" s="36">
        <f>SUM(G347:G353)</f>
        <v>0</v>
      </c>
      <c r="H354" s="133">
        <f t="shared" si="34"/>
        <v>55626.1</v>
      </c>
    </row>
    <row r="355" spans="1:8" ht="18.75" customHeight="1" thickBot="1" x14ac:dyDescent="0.3">
      <c r="A355" s="37" t="s">
        <v>260</v>
      </c>
      <c r="B355" s="88"/>
      <c r="C355" s="39">
        <f>C344+C354</f>
        <v>2141229.66</v>
      </c>
      <c r="D355" s="39">
        <f>SUM(D344+D354)</f>
        <v>1835.6200000000008</v>
      </c>
      <c r="E355" s="39">
        <f>SUM(E344+E354)</f>
        <v>272560.37</v>
      </c>
      <c r="F355" s="39">
        <f>SUM(C355:E355)</f>
        <v>2415625.6500000004</v>
      </c>
      <c r="G355" s="39">
        <f>SUM(G344+G354)</f>
        <v>64643.140000000007</v>
      </c>
      <c r="H355" s="134">
        <f t="shared" si="34"/>
        <v>2480268.7900000005</v>
      </c>
    </row>
    <row r="356" spans="1:8" ht="12.75" customHeight="1" thickBot="1" x14ac:dyDescent="0.3">
      <c r="A356" s="121"/>
      <c r="B356" s="120"/>
      <c r="C356" s="122"/>
      <c r="D356" s="122"/>
      <c r="E356" s="97"/>
      <c r="F356" s="28"/>
      <c r="G356" s="28"/>
      <c r="H356" s="135"/>
    </row>
    <row r="357" spans="1:8" ht="30.75" thickBot="1" x14ac:dyDescent="0.3">
      <c r="A357" s="29" t="s">
        <v>261</v>
      </c>
      <c r="B357" s="86"/>
      <c r="C357" s="31"/>
      <c r="D357" s="31"/>
      <c r="E357" s="98"/>
      <c r="F357" s="31"/>
      <c r="G357" s="31"/>
      <c r="H357" s="139"/>
    </row>
    <row r="358" spans="1:8" ht="16.5" customHeight="1" thickBot="1" x14ac:dyDescent="0.3">
      <c r="A358" s="164" t="s">
        <v>262</v>
      </c>
      <c r="B358" s="165"/>
      <c r="C358" s="166">
        <v>0</v>
      </c>
      <c r="D358" s="166">
        <v>0</v>
      </c>
      <c r="E358" s="167">
        <v>0</v>
      </c>
      <c r="F358" s="168">
        <f>SUM(C358:E358)</f>
        <v>0</v>
      </c>
      <c r="G358" s="169">
        <v>0</v>
      </c>
      <c r="H358" s="170">
        <f>SUM(F358:G358)</f>
        <v>0</v>
      </c>
    </row>
    <row r="359" spans="1:8" ht="30.75" thickBot="1" x14ac:dyDescent="0.3">
      <c r="A359" s="29" t="s">
        <v>263</v>
      </c>
      <c r="B359" s="87"/>
      <c r="C359" s="171">
        <f>SUM(C358)</f>
        <v>0</v>
      </c>
      <c r="D359" s="171">
        <f>SUM(D358)</f>
        <v>0</v>
      </c>
      <c r="E359" s="172">
        <f>SUM(E358)</f>
        <v>0</v>
      </c>
      <c r="F359" s="171">
        <f>SUM(C359:E359)</f>
        <v>0</v>
      </c>
      <c r="G359" s="173">
        <v>0</v>
      </c>
      <c r="H359" s="174">
        <f>SUM(F359:G359)</f>
        <v>0</v>
      </c>
    </row>
    <row r="360" spans="1:8" ht="9" customHeight="1" x14ac:dyDescent="0.25"/>
    <row r="361" spans="1:8" ht="11.25" customHeight="1" x14ac:dyDescent="0.25">
      <c r="A361" s="89"/>
      <c r="B361" s="89"/>
      <c r="C361" s="89"/>
      <c r="D361" s="89"/>
      <c r="E361" s="89"/>
      <c r="F361" s="89"/>
      <c r="G361" s="89"/>
    </row>
    <row r="362" spans="1:8" hidden="1" x14ac:dyDescent="0.25">
      <c r="A362" s="89"/>
      <c r="B362" s="89"/>
      <c r="C362" s="89"/>
      <c r="D362" s="89"/>
      <c r="E362" s="89"/>
      <c r="F362" s="89"/>
      <c r="G362" s="89"/>
    </row>
  </sheetData>
  <sheetProtection algorithmName="SHA-512" hashValue="Mzx/JkYULxdQyqgLwtykDr9v5szMkTpFi0yW3EHSwvhJzr71cjVgcJ8d0k5keKNnX9Oo/Xv6QkUniTh0Sl88cw==" saltValue="U5RQ39EV5RgVu6WpkZ3PR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1. změně a po RO RM č. 1 - 73 
&amp;"-,Obyčejné"Zpracovala: Mgr. Andrea Oháňková, FO
&amp;RStrana &amp;P
celkem 17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1.ZR a RORM 1-73</vt:lpstr>
      <vt:lpstr>'ZU 2024 po 1.ZR a RORM 1-73'!Názvy_tisku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2024-05-20T14:01:54Z</cp:lastPrinted>
  <dcterms:created xsi:type="dcterms:W3CDTF">2024-01-31T13:47:41Z</dcterms:created>
  <dcterms:modified xsi:type="dcterms:W3CDTF">2024-06-06T07:09:16Z</dcterms:modified>
</cp:coreProperties>
</file>